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elinda\Google Drive\UniversalFolder\ANSI Rn stnd\MS QA\0ACurrent-2018\"/>
    </mc:Choice>
  </mc:AlternateContent>
  <bookViews>
    <workbookView xWindow="0" yWindow="0" windowWidth="16395" windowHeight="6660" tabRatio="707" activeTab="2"/>
  </bookViews>
  <sheets>
    <sheet name="CalibDurationEtcCalcs" sheetId="11" r:id="rId1"/>
    <sheet name="OptimalCountingTimeBkgCalib" sheetId="9" r:id="rId2"/>
    <sheet name="Resultant_CRM_Uncertainty" sheetId="8" r:id="rId3"/>
    <sheet name="UncertaintyIn2ndaryChamber" sheetId="4" r:id="rId4"/>
    <sheet name="QC_scribbling" sheetId="10" r:id="rId5"/>
    <sheet name="scribbling" sheetId="7" r:id="rId6"/>
  </sheets>
  <definedNames>
    <definedName name="CF">CalibDurationEtcCalcs!$C$3</definedName>
    <definedName name="CONC">CalibDurationEtcCalcs!$C$5</definedName>
    <definedName name="CSE" comment="calibration chamber uncertainty in standard error for minimum calibration period">CalibDurationEtcCalcs!$C$12</definedName>
    <definedName name="Hrs">CalibDurationEtcCalcs!$M$8</definedName>
    <definedName name="SE">CalibDurationEtcCalcs!$C$7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10" l="1"/>
  <c r="G16" i="10" s="1"/>
  <c r="D16" i="10"/>
  <c r="F16" i="10" s="1"/>
  <c r="E15" i="10"/>
  <c r="G15" i="10" s="1"/>
  <c r="D15" i="10"/>
  <c r="F15" i="10" s="1"/>
  <c r="K14" i="10"/>
  <c r="M14" i="10" s="1"/>
  <c r="J14" i="10"/>
  <c r="L14" i="10" s="1"/>
  <c r="E14" i="10"/>
  <c r="G14" i="10" s="1"/>
  <c r="D14" i="10"/>
  <c r="F14" i="10" s="1"/>
  <c r="K13" i="10"/>
  <c r="M13" i="10" s="1"/>
  <c r="J13" i="10"/>
  <c r="L13" i="10" s="1"/>
  <c r="E13" i="10"/>
  <c r="G13" i="10" s="1"/>
  <c r="D13" i="10"/>
  <c r="F13" i="10" s="1"/>
  <c r="K12" i="10"/>
  <c r="M12" i="10" s="1"/>
  <c r="J12" i="10"/>
  <c r="L12" i="10" s="1"/>
  <c r="E12" i="10"/>
  <c r="G12" i="10" s="1"/>
  <c r="D12" i="10"/>
  <c r="F12" i="10" s="1"/>
  <c r="K11" i="10"/>
  <c r="M11" i="10" s="1"/>
  <c r="J11" i="10"/>
  <c r="L11" i="10" s="1"/>
  <c r="E11" i="10"/>
  <c r="G11" i="10" s="1"/>
  <c r="D11" i="10"/>
  <c r="F11" i="10" s="1"/>
  <c r="K10" i="10"/>
  <c r="M10" i="10" s="1"/>
  <c r="J10" i="10"/>
  <c r="L10" i="10" s="1"/>
  <c r="E10" i="10"/>
  <c r="G10" i="10" s="1"/>
  <c r="D10" i="10"/>
  <c r="F10" i="10" s="1"/>
  <c r="K9" i="10"/>
  <c r="M9" i="10" s="1"/>
  <c r="J9" i="10"/>
  <c r="L9" i="10" s="1"/>
  <c r="E9" i="10"/>
  <c r="G9" i="10" s="1"/>
  <c r="D9" i="10"/>
  <c r="F9" i="10" s="1"/>
  <c r="K8" i="10"/>
  <c r="M8" i="10" s="1"/>
  <c r="J8" i="10"/>
  <c r="L8" i="10" s="1"/>
  <c r="E8" i="10"/>
  <c r="G8" i="10" s="1"/>
  <c r="D8" i="10"/>
  <c r="F8" i="10" s="1"/>
  <c r="K7" i="10"/>
  <c r="M7" i="10" s="1"/>
  <c r="J7" i="10"/>
  <c r="L7" i="10" s="1"/>
  <c r="E7" i="10"/>
  <c r="G7" i="10" s="1"/>
  <c r="D7" i="10"/>
  <c r="F7" i="10" s="1"/>
  <c r="K6" i="10"/>
  <c r="M6" i="10" s="1"/>
  <c r="J6" i="10"/>
  <c r="L6" i="10" s="1"/>
  <c r="E6" i="10"/>
  <c r="G6" i="10" s="1"/>
  <c r="D6" i="10"/>
  <c r="F6" i="10" s="1"/>
  <c r="K5" i="10"/>
  <c r="M5" i="10" s="1"/>
  <c r="J5" i="10"/>
  <c r="L5" i="10" s="1"/>
  <c r="E5" i="10"/>
  <c r="G5" i="10" s="1"/>
  <c r="D5" i="10"/>
  <c r="F5" i="10" s="1"/>
  <c r="K4" i="10"/>
  <c r="M4" i="10" s="1"/>
  <c r="J4" i="10"/>
  <c r="L4" i="10" s="1"/>
  <c r="E4" i="10"/>
  <c r="G4" i="10" s="1"/>
  <c r="D4" i="10"/>
  <c r="F4" i="10" s="1"/>
  <c r="P7" i="11" l="1"/>
  <c r="M7" i="11" s="1"/>
  <c r="M15" i="11" s="1"/>
  <c r="G20" i="8"/>
  <c r="C8" i="11" l="1"/>
  <c r="D27" i="8" l="1"/>
  <c r="F27" i="8" s="1"/>
  <c r="D26" i="8"/>
  <c r="E26" i="8" s="1"/>
  <c r="G26" i="8" s="1"/>
  <c r="D25" i="8"/>
  <c r="F25" i="8" s="1"/>
  <c r="D24" i="8"/>
  <c r="F24" i="8" s="1"/>
  <c r="D23" i="8"/>
  <c r="F23" i="8" s="1"/>
  <c r="D22" i="8"/>
  <c r="E22" i="8" s="1"/>
  <c r="G22" i="8" s="1"/>
  <c r="D21" i="8"/>
  <c r="F21" i="8" s="1"/>
  <c r="D20" i="8"/>
  <c r="F20" i="8" s="1"/>
  <c r="F26" i="8" l="1"/>
  <c r="E25" i="8"/>
  <c r="G25" i="8" s="1"/>
  <c r="F22" i="8"/>
  <c r="E21" i="8"/>
  <c r="G21" i="8" s="1"/>
  <c r="J21" i="8" s="1"/>
  <c r="K23" i="8"/>
  <c r="I25" i="8"/>
  <c r="K25" i="8"/>
  <c r="J25" i="8"/>
  <c r="K21" i="8"/>
  <c r="J26" i="8"/>
  <c r="I26" i="8"/>
  <c r="K26" i="8"/>
  <c r="J22" i="8"/>
  <c r="I22" i="8"/>
  <c r="K22" i="8"/>
  <c r="E20" i="8"/>
  <c r="K20" i="8" s="1"/>
  <c r="E24" i="8"/>
  <c r="G24" i="8" s="1"/>
  <c r="I24" i="8" s="1"/>
  <c r="E23" i="8"/>
  <c r="G23" i="8" s="1"/>
  <c r="J23" i="8" s="1"/>
  <c r="E27" i="8"/>
  <c r="G27" i="8" s="1"/>
  <c r="J27" i="8" s="1"/>
  <c r="C15" i="11"/>
  <c r="K27" i="8" l="1"/>
  <c r="I23" i="8"/>
  <c r="J24" i="8"/>
  <c r="K24" i="8"/>
  <c r="I27" i="8"/>
  <c r="I21" i="8"/>
  <c r="J20" i="8"/>
  <c r="I20" i="8"/>
  <c r="E12" i="4"/>
  <c r="I4" i="9"/>
  <c r="I3" i="9" l="1"/>
  <c r="H22" i="9" l="1"/>
  <c r="I22" i="9" s="1"/>
  <c r="B22" i="9"/>
  <c r="H21" i="9"/>
  <c r="I21" i="9" s="1"/>
  <c r="B21" i="9"/>
  <c r="H20" i="9"/>
  <c r="I20" i="9" s="1"/>
  <c r="B20" i="9"/>
  <c r="I19" i="9"/>
  <c r="H19" i="9"/>
  <c r="B19" i="9"/>
  <c r="H18" i="9"/>
  <c r="I18" i="9" s="1"/>
  <c r="B18" i="9"/>
  <c r="C17" i="9"/>
  <c r="H17" i="9" s="1"/>
  <c r="I16" i="9"/>
  <c r="H16" i="9"/>
  <c r="B16" i="9"/>
  <c r="H10" i="9"/>
  <c r="I10" i="9" s="1"/>
  <c r="G10" i="9"/>
  <c r="B10" i="9"/>
  <c r="H9" i="9"/>
  <c r="I9" i="9" s="1"/>
  <c r="G9" i="9"/>
  <c r="B9" i="9"/>
  <c r="H8" i="9"/>
  <c r="I8" i="9" s="1"/>
  <c r="G8" i="9"/>
  <c r="B8" i="9"/>
  <c r="H7" i="9"/>
  <c r="I7" i="9" s="1"/>
  <c r="G7" i="9"/>
  <c r="B7" i="9"/>
  <c r="X6" i="9"/>
  <c r="K6" i="9"/>
  <c r="D17" i="9" s="1"/>
  <c r="B17" i="9" s="1"/>
  <c r="I6" i="9"/>
  <c r="H6" i="9"/>
  <c r="G6" i="9"/>
  <c r="B6" i="9"/>
  <c r="Z5" i="9"/>
  <c r="X5" i="9"/>
  <c r="H5" i="9"/>
  <c r="I5" i="9" s="1"/>
  <c r="B5" i="9"/>
  <c r="H4" i="9"/>
  <c r="G4" i="9"/>
  <c r="B4" i="9"/>
  <c r="H3" i="9"/>
  <c r="G3" i="9"/>
  <c r="B3" i="9"/>
  <c r="I17" i="9" l="1"/>
  <c r="F14" i="7" l="1"/>
  <c r="G14" i="7" s="1"/>
  <c r="F15" i="7" l="1"/>
  <c r="G15" i="7" s="1"/>
  <c r="F16" i="7"/>
  <c r="G16" i="7" s="1"/>
  <c r="F17" i="7"/>
  <c r="G17" i="7" s="1"/>
  <c r="K3" i="7" l="1"/>
  <c r="K5" i="7" s="1"/>
  <c r="T24" i="7"/>
  <c r="T23" i="7"/>
  <c r="T22" i="7"/>
  <c r="T21" i="7"/>
  <c r="T20" i="7"/>
  <c r="T19" i="7"/>
  <c r="T18" i="7"/>
  <c r="T17" i="7"/>
  <c r="T16" i="7"/>
  <c r="T15" i="7"/>
  <c r="T14" i="7"/>
  <c r="T13" i="7"/>
  <c r="T12" i="7"/>
  <c r="T11" i="7"/>
  <c r="T10" i="7"/>
  <c r="T9" i="7"/>
  <c r="T8" i="7"/>
  <c r="T7" i="7"/>
  <c r="T6" i="7"/>
  <c r="T5" i="7"/>
  <c r="T4" i="7"/>
  <c r="T3" i="7"/>
  <c r="D7" i="8" l="1"/>
  <c r="D8" i="8"/>
  <c r="D9" i="8"/>
  <c r="D10" i="8"/>
  <c r="D11" i="8"/>
  <c r="D6" i="8"/>
  <c r="G7" i="7"/>
  <c r="G4" i="7"/>
  <c r="G3" i="7"/>
  <c r="E13" i="4" l="1"/>
  <c r="F13" i="4" s="1"/>
  <c r="D4" i="8"/>
  <c r="F4" i="8" s="1"/>
  <c r="G4" i="8" s="1"/>
  <c r="D5" i="8"/>
  <c r="E5" i="8" s="1"/>
  <c r="E6" i="8"/>
  <c r="E7" i="8"/>
  <c r="F8" i="8"/>
  <c r="G8" i="8" s="1"/>
  <c r="J8" i="8" s="1"/>
  <c r="E9" i="8"/>
  <c r="E10" i="8"/>
  <c r="E11" i="8"/>
  <c r="I8" i="8" l="1"/>
  <c r="K8" i="8"/>
  <c r="E4" i="8"/>
  <c r="J4" i="8"/>
  <c r="F7" i="8"/>
  <c r="G7" i="8" s="1"/>
  <c r="J7" i="8" s="1"/>
  <c r="F11" i="8"/>
  <c r="G11" i="8" s="1"/>
  <c r="J11" i="8" s="1"/>
  <c r="E8" i="8"/>
  <c r="F10" i="8"/>
  <c r="G10" i="8" s="1"/>
  <c r="J10" i="8" s="1"/>
  <c r="F6" i="8"/>
  <c r="G6" i="8" s="1"/>
  <c r="J6" i="8" s="1"/>
  <c r="F9" i="8"/>
  <c r="G9" i="8" s="1"/>
  <c r="J9" i="8" s="1"/>
  <c r="F5" i="8"/>
  <c r="G5" i="8" s="1"/>
  <c r="I5" i="8" s="1"/>
  <c r="J5" i="8" l="1"/>
  <c r="I10" i="8"/>
  <c r="K10" i="8"/>
  <c r="K7" i="8"/>
  <c r="K9" i="8"/>
  <c r="K4" i="8"/>
  <c r="K5" i="8"/>
  <c r="I4" i="8"/>
  <c r="K6" i="8"/>
  <c r="K11" i="8"/>
  <c r="I9" i="8"/>
  <c r="I7" i="8"/>
  <c r="I6" i="8"/>
  <c r="I11" i="8"/>
  <c r="A23" i="7" l="1"/>
  <c r="C4" i="7"/>
  <c r="C5" i="7"/>
  <c r="C6" i="7"/>
  <c r="C24" i="7" s="1"/>
  <c r="C21" i="7" s="1"/>
  <c r="C7" i="7"/>
  <c r="C8" i="7"/>
  <c r="C9" i="7"/>
  <c r="C10" i="7"/>
  <c r="C11" i="7"/>
  <c r="C12" i="7"/>
  <c r="C13" i="7"/>
  <c r="C14" i="7"/>
  <c r="C15" i="7"/>
  <c r="C16" i="7"/>
  <c r="C17" i="7"/>
  <c r="C18" i="7"/>
  <c r="C19" i="7"/>
  <c r="C3" i="7"/>
  <c r="A22" i="7"/>
  <c r="A21" i="7"/>
  <c r="B21" i="7" l="1"/>
  <c r="B22" i="7"/>
  <c r="D22" i="7" s="1"/>
  <c r="E17" i="4"/>
  <c r="F17" i="4" s="1"/>
  <c r="E21" i="4"/>
  <c r="F21" i="4" s="1"/>
  <c r="C20" i="4"/>
  <c r="F20" i="4" s="1"/>
  <c r="F19" i="4"/>
  <c r="C16" i="4"/>
  <c r="F16" i="4" s="1"/>
  <c r="F15" i="4"/>
  <c r="E14" i="4"/>
  <c r="F14" i="4" s="1"/>
  <c r="F10" i="4"/>
  <c r="F9" i="4"/>
  <c r="F8" i="4"/>
  <c r="J7" i="4"/>
  <c r="F7" i="4"/>
  <c r="F6" i="4"/>
  <c r="J5" i="4"/>
  <c r="C5" i="4"/>
  <c r="F5" i="4" s="1"/>
  <c r="C4" i="4"/>
  <c r="F4" i="4" s="1"/>
  <c r="C12" i="4" s="1"/>
  <c r="F12" i="4" l="1"/>
  <c r="G18" i="4" s="1"/>
  <c r="H18" i="4" s="1"/>
  <c r="I18" i="4" s="1"/>
  <c r="G22" i="4" l="1"/>
  <c r="H22" i="4" s="1"/>
  <c r="I22" i="4" s="1"/>
</calcChain>
</file>

<file path=xl/comments1.xml><?xml version="1.0" encoding="utf-8"?>
<comments xmlns="http://schemas.openxmlformats.org/spreadsheetml/2006/main">
  <authors>
    <author>me</author>
  </authors>
  <commentList>
    <comment ref="D17" authorId="0" shapeId="0">
      <text>
        <r>
          <rPr>
            <b/>
            <sz val="8"/>
            <color indexed="81"/>
            <rFont val="Tahoma"/>
            <family val="2"/>
          </rPr>
          <t>bkg programmed in, based on cell K5</t>
        </r>
      </text>
    </comment>
  </commentList>
</comments>
</file>

<file path=xl/comments2.xml><?xml version="1.0" encoding="utf-8"?>
<comments xmlns="http://schemas.openxmlformats.org/spreadsheetml/2006/main">
  <authors>
    <author>melinda</author>
  </authors>
  <commentList>
    <comment ref="H3" authorId="0" shapeId="0">
      <text>
        <r>
          <rPr>
            <b/>
            <sz val="9"/>
            <color indexed="81"/>
            <rFont val="Tahoma"/>
            <charset val="1"/>
          </rPr>
          <t>the derived value for LV is 6%, but we may add~2% due to bkg variability</t>
        </r>
      </text>
    </comment>
    <comment ref="H19" authorId="0" shapeId="0">
      <text>
        <r>
          <rPr>
            <b/>
            <sz val="9"/>
            <color indexed="81"/>
            <rFont val="Tahoma"/>
            <charset val="1"/>
          </rPr>
          <t>the derived value for LV is 6%, but we may add~2% due to bkg variability</t>
        </r>
      </text>
    </comment>
  </commentList>
</comments>
</file>

<file path=xl/comments3.xml><?xml version="1.0" encoding="utf-8"?>
<comments xmlns="http://schemas.openxmlformats.org/spreadsheetml/2006/main">
  <authors>
    <author>melinda</author>
  </authors>
  <commentList>
    <comment ref="D12" authorId="0" shapeId="0">
      <text>
        <r>
          <rPr>
            <b/>
            <sz val="9"/>
            <color indexed="81"/>
            <rFont val="Tahoma"/>
            <family val="2"/>
          </rPr>
          <t>3 Lucas cells shipped from NAREL to calibrating chambers</t>
        </r>
      </text>
    </comment>
    <comment ref="F12" authorId="0" shapeId="0">
      <text>
        <r>
          <rPr>
            <b/>
            <sz val="9"/>
            <color indexed="81"/>
            <rFont val="Tahoma"/>
            <family val="2"/>
          </rPr>
          <t>The avg of 3 diminishes the uncertainty of this "known" concentration in the Lucas cells, counted by the calibrating chamber and used as their "known" against which to calibrate THEIR chamber.</t>
        </r>
      </text>
    </comment>
    <comment ref="C13" authorId="0" shapeId="0">
      <text>
        <r>
          <rPr>
            <b/>
            <sz val="9"/>
            <color indexed="81"/>
            <rFont val="Tahoma"/>
            <family val="2"/>
          </rPr>
          <t>The standard error of the difference between the counts of the 3 grabs made w Lucas cells of the calibrating chamber concentration; the LV chamber agreement between grabs showed an avg standard error of 3%.  Given the large number of counts esp if the calibrating chambers concentrations ~&gt;20 pCi/L, agreement in Phil's or Jim's may be less than 3%.</t>
        </r>
      </text>
    </comment>
    <comment ref="C14" authorId="0" shapeId="0">
      <text>
        <r>
          <rPr>
            <b/>
            <sz val="8"/>
            <color indexed="81"/>
            <rFont val="Tahoma"/>
            <family val="2"/>
          </rPr>
          <t xml:space="preserve">Since these are the same or similar cells, this assumes that the differences between them will be about the same as the differences between the 3 cells that were filled by NAREL and counted at the calibration chamber as shown in cell C13
</t>
        </r>
      </text>
    </comment>
    <comment ref="C17" authorId="0" shapeId="0">
      <text>
        <r>
          <rPr>
            <b/>
            <sz val="9"/>
            <color indexed="81"/>
            <rFont val="Tahoma"/>
            <family val="2"/>
          </rPr>
          <t xml:space="preserve">Agreement between the 2 SACs in LV chamber was 1.5%, and this assumes that Phil's will be similar
</t>
        </r>
      </text>
    </comment>
    <comment ref="C19" authorId="0" shapeId="0">
      <text>
        <r>
          <rPr>
            <b/>
            <sz val="9"/>
            <color indexed="81"/>
            <rFont val="Tahoma"/>
            <family val="2"/>
          </rPr>
          <t>estimates in cells C19 and C20 are based on calculations from LV data, but if concentrations are ~&gt;20 pCi/L results in Phil's chamber should be similar</t>
        </r>
      </text>
    </comment>
  </commentList>
</comments>
</file>

<file path=xl/sharedStrings.xml><?xml version="1.0" encoding="utf-8"?>
<sst xmlns="http://schemas.openxmlformats.org/spreadsheetml/2006/main" count="235" uniqueCount="155">
  <si>
    <t>Reference or source of estimate</t>
  </si>
  <si>
    <t>s, measured standardized, or % uncertainty)</t>
  </si>
  <si>
    <t>N</t>
  </si>
  <si>
    <r>
      <t>s</t>
    </r>
    <r>
      <rPr>
        <b/>
        <u/>
        <vertAlign val="superscript"/>
        <sz val="10"/>
        <color theme="1"/>
        <rFont val="Calibri"/>
        <family val="2"/>
        <scheme val="minor"/>
      </rPr>
      <t>2</t>
    </r>
  </si>
  <si>
    <t>sum</t>
  </si>
  <si>
    <t>s</t>
  </si>
  <si>
    <t>estimated uncertainty, 1 s</t>
  </si>
  <si>
    <t>Upper Limit of Systematic Errors</t>
  </si>
  <si>
    <t>n/a</t>
  </si>
  <si>
    <t>Volumetric transfer to Lucas cells</t>
  </si>
  <si>
    <t>scale calibration certificate</t>
  </si>
  <si>
    <t>manometer calibration certificate</t>
  </si>
  <si>
    <t>n/a****</t>
  </si>
  <si>
    <t>repeated flushing of laboratory standards (a)</t>
  </si>
  <si>
    <t>elapsed time resolution, 1 min/14 days</t>
  </si>
  <si>
    <t>calculation of fraction of remaining atoms based on vacuum of 30 mtorr (b)</t>
  </si>
  <si>
    <t>(below this row, no systematic errors measured or estimated)</t>
  </si>
  <si>
    <t>the square root of the sum of the squares of each component standard uncertainty plus each upper limit of systematic errors in rows above</t>
  </si>
  <si>
    <t>SAC counting error to generate the 2nd SAC's CF</t>
  </si>
  <si>
    <t>agreement between the set of the SACs for 1 chamber hour</t>
  </si>
  <si>
    <t>SUBTOTAL: estimated 1 sigma up to this point for one hour of chamber data from avg of 2 SACs</t>
  </si>
  <si>
    <t>**Report of Traceability from NIST shows agreement of -1.61% (1993)</t>
  </si>
  <si>
    <t>***I am inferring Paul used a parallel process of generating the bubblers to what he did when generating 2557-3 and 2557-4, which is to compare the volumetric transfer with gamma spectroscopy measurements of activity, then calculating specific activity based on the bubbler volume, so that is not 2 replicates but at least two assessments.  These values of one percent for imprecision and 1.5 percent for systematic errors are taken from 2557-3 which shows a standard error for imprecision of 1% and systematic error of 3%</t>
  </si>
  <si>
    <t>****digital prevents bias in recording value</t>
  </si>
  <si>
    <t>(a) repeated flushing of bubblers: if you repeat the exercise with a second set of five cells, as quickly as possible after the first set of five, you will get the same result.  This value was taken from the Swedes' study, but is so low it doesn’t make a difference.</t>
  </si>
  <si>
    <t xml:space="preserve">[do we have data we can use for this, where the cell CF generation exercise was repeated?  Or, can we use the volume </t>
  </si>
  <si>
    <t>represented by 30 millitorr of pressure in 0.36 liter?]</t>
  </si>
  <si>
    <t>(b) this is linearly related to pressure, but also did a calculation based on avogadro's number of 6.023e23 molecules in 22.4 liters at 1 atm, which yields</t>
  </si>
  <si>
    <t xml:space="preserve">2.7e19 molecules in one cc at one atm </t>
  </si>
  <si>
    <t>SRM 4964-B 226Ra standard bubbler solution</t>
  </si>
  <si>
    <t>NIST certificate</t>
  </si>
  <si>
    <t>cph/(pCi/L)</t>
  </si>
  <si>
    <t>pCi/L</t>
  </si>
  <si>
    <t>counts@1_hr</t>
  </si>
  <si>
    <t>counts@24_hr</t>
  </si>
  <si>
    <t>counts@48_hr</t>
  </si>
  <si>
    <t>STANDARD ERROR OF THE MEAN = s/sqrt(N)  which is estimate of s of the mean if N&gt;0</t>
  </si>
  <si>
    <t xml:space="preserve">48 hour counting error of one SAC </t>
  </si>
  <si>
    <t xml:space="preserve">48 hour counting error of the paired SAC </t>
  </si>
  <si>
    <t>agreement between the set of the SACs for 48 chamber hours</t>
  </si>
  <si>
    <t>for 48 hr chamber exposure</t>
  </si>
  <si>
    <t>(sqrt of counts)/counts</t>
  </si>
  <si>
    <t>stats</t>
  </si>
  <si>
    <t>ln stats</t>
  </si>
  <si>
    <t>count=</t>
  </si>
  <si>
    <t>ln of data</t>
  </si>
  <si>
    <t>geometric stnd deviation</t>
  </si>
  <si>
    <t>Device:</t>
  </si>
  <si>
    <t>AlphaGuard</t>
  </si>
  <si>
    <t>B</t>
  </si>
  <si>
    <t xml:space="preserve">A </t>
  </si>
  <si>
    <t>counts accrued for various exposure durations</t>
  </si>
  <si>
    <t>COUNTING of the 3 Lucas cells sent from NAREL filled with bubbler-generated concentration adds an uncertainty due to the difference between the 3 cells as counted by the calibration chamber</t>
  </si>
  <si>
    <r>
      <t xml:space="preserve">Blue cells show estimates of the uncertainty of the calibrating chamber's average concentration for 48 hour calibration exposure durations </t>
    </r>
    <r>
      <rPr>
        <b/>
        <i/>
        <u/>
        <sz val="10"/>
        <color theme="1"/>
        <rFont val="Calibri"/>
        <family val="2"/>
        <scheme val="minor"/>
      </rPr>
      <t>(please see comments explaining some tricky cells)</t>
    </r>
  </si>
  <si>
    <t>ESTIMATION OF THE UNCERTAINTY OF CALIBRATING CHAMBER'S AVG CONC FOR 48 HOUR EXPOSURE (green cells show the uncertainty in each Lucas cell filled by NAREL from the bubbler [the calibrating lab ships 3 cells to NAREL to get filled])</t>
  </si>
  <si>
    <t>Efficiency (aka CF or sensitivity)</t>
  </si>
  <si>
    <t>conc</t>
  </si>
  <si>
    <t>Resultant uncertainty in each CRM calibrated</t>
  </si>
  <si>
    <t>combining in quadrature cells in coumns G and J</t>
  </si>
  <si>
    <r>
      <t xml:space="preserve"> </t>
    </r>
    <r>
      <rPr>
        <b/>
        <u/>
        <sz val="10"/>
        <color theme="1"/>
        <rFont val="Calibri"/>
        <family val="2"/>
        <scheme val="minor"/>
      </rPr>
      <t>Component of Uncertainty</t>
    </r>
    <r>
      <rPr>
        <sz val="10"/>
        <color theme="1"/>
        <rFont val="Calibri"/>
        <family val="2"/>
        <scheme val="minor"/>
      </rPr>
      <t xml:space="preserve"> Rows 4-11 calculate the Primary Standard (NAREL's NIST SRM Ra226 in solution [bubbler]-generated Rn222 gas concentration; note that these values are all based on LV data and NAREL will be different, but not a lot greater, we hope.</t>
    </r>
  </si>
  <si>
    <t>Lucas Cell CF generation counting error (since the Lucas cells belong to the calibration lab that ships them to NAREL to be filled, these CFs will be calculated by the calibration lab prior to shipping them to NAREL, and are basically what will be calibrated by this process, then the "authority" of the NIST SRM is carried through via these cells (and thence traceable to) the actual calibration chamber concentration)</t>
  </si>
  <si>
    <t>counting error of CF generation process (these values based on LV cells counting ~25 pCi/L)</t>
  </si>
  <si>
    <r>
      <t xml:space="preserve">SUBTOTAL: cumulative error to this point in the concentration in </t>
    </r>
    <r>
      <rPr>
        <u/>
        <sz val="11"/>
        <color theme="1"/>
        <rFont val="Calibri"/>
        <family val="2"/>
        <scheme val="minor"/>
      </rPr>
      <t>each</t>
    </r>
    <r>
      <rPr>
        <sz val="11"/>
        <color theme="1"/>
        <rFont val="Calibri"/>
        <family val="2"/>
        <scheme val="minor"/>
      </rPr>
      <t xml:space="preserve"> of the NAREL-filled Lucas cells is shown in cell  I11</t>
    </r>
  </si>
  <si>
    <r>
      <t xml:space="preserve">LUCAS CELLS SENT FROM NAREL have estimated uncertainty in </t>
    </r>
    <r>
      <rPr>
        <u/>
        <sz val="11"/>
        <color theme="1"/>
        <rFont val="Calibri"/>
        <family val="2"/>
        <scheme val="minor"/>
      </rPr>
      <t>each</t>
    </r>
    <r>
      <rPr>
        <sz val="11"/>
        <color theme="1"/>
        <rFont val="Calibri"/>
        <family val="2"/>
        <scheme val="minor"/>
      </rPr>
      <t xml:space="preserve"> Lucas cell filled w bubbler, including counting error and other cumulative error to this point, in cell C12=I11, but because 3 Lucas cells are shipped from NAREL to Phil or Jim or other 2ndary chamber this is diminished by the sqrt of 3 to result in the uncertainty of the "known" from NAREL to be as shown in cell F12</t>
    </r>
  </si>
  <si>
    <r>
      <t xml:space="preserve">NOW, the CHAMBER MAKES 3 GRABS w the same LUCAS CELLS (which are theirs anyway as they shipped them to NAREL to get filled), and the uncertainty in the </t>
    </r>
    <r>
      <rPr>
        <u/>
        <sz val="11"/>
        <color theme="1"/>
        <rFont val="Calibri"/>
        <family val="2"/>
        <scheme val="minor"/>
      </rPr>
      <t>average</t>
    </r>
    <r>
      <rPr>
        <sz val="11"/>
        <color theme="1"/>
        <rFont val="Calibri"/>
        <family val="2"/>
        <scheme val="minor"/>
      </rPr>
      <t xml:space="preserve"> of these 3 Lucas cell chamber grabs is used to calibrate the chamber conc. by comparing this average to their counts from the cells as filled by NAREL with the "known" bubbler-generated concentration.  (Note that is row contributes uncertainty based only on the agreement between the 3 chamber grabs and not including the cumulative error shown in cell F12 which is the uncertainty in the "known" conc based on the average of 3 cells as filled by NAREL, which gets carried though the process.)</t>
    </r>
  </si>
  <si>
    <t>Phil's chamber uses 2 large flow through scint cells called SACs (as did LV), and each SAC's counting error of the hour when the grab was made, and used generate each SAC's CF (based on 1 hour counting error; 3% is high estimate) is shown in cell C15 as the standard error</t>
  </si>
  <si>
    <t>cpm</t>
  </si>
  <si>
    <t>cph</t>
  </si>
  <si>
    <t>femto</t>
  </si>
  <si>
    <t>AG</t>
  </si>
  <si>
    <t>Sun Nuclear 1029 CRM</t>
  </si>
  <si>
    <t>1030 Radon Sentinel</t>
  </si>
  <si>
    <t>http://www.nrsb.org/images/file/NRSB%20Devices%20Ltg.pdf</t>
  </si>
  <si>
    <t>http://www.ludlums.com/component/virtuemart/equipment-type-3/sample-counting-21/general-purpose-scaler-34-detail?Itemid=0</t>
  </si>
  <si>
    <t>http://www.ludlums.com/multisites/medphys/images/stories/product_manuals/M2000.pdf</t>
  </si>
  <si>
    <t>http://ludlums.com/images/stories/data_sheets/M2000.pdf</t>
  </si>
  <si>
    <t>RADALINK Radon Telemonitor</t>
  </si>
  <si>
    <t>from online device descriptions, per pCi/L:</t>
  </si>
  <si>
    <t>Sun Nuclear 1028 CRM</t>
  </si>
  <si>
    <t>Bq m3</t>
  </si>
  <si>
    <t>0.05 cpm per Bq/m3</t>
  </si>
  <si>
    <t>value</t>
  </si>
  <si>
    <t>so in terms of cph</t>
  </si>
  <si>
    <t>=SQRT(H4*H4+G4*G4)</t>
  </si>
  <si>
    <t>'=C4+(SQRT(H4*H4+G4*G4)+J14)*C4</t>
  </si>
  <si>
    <t>AG: 5 cpm at 100 Bq/m³</t>
  </si>
  <si>
    <t>5 cpm at 100 Bq/m³ (3 pCi/l)</t>
  </si>
  <si>
    <t xml:space="preserve">femto </t>
  </si>
  <si>
    <t>Sun Nuclear 1027</t>
  </si>
  <si>
    <t>from Andy George's sheet in cpm/4 pCi/L:</t>
  </si>
  <si>
    <t>Rad 7</t>
  </si>
  <si>
    <t>cpm/pCi/L</t>
  </si>
  <si>
    <t>cph/pCi/L</t>
  </si>
  <si>
    <t>old AG</t>
  </si>
  <si>
    <t>cph@zero-air</t>
  </si>
  <si>
    <t>CALIBRATION LAB optimal counting times:</t>
  </si>
  <si>
    <t>MITIGATION DECISION optimal counting times:</t>
  </si>
  <si>
    <t>chamber pCi/L</t>
  </si>
  <si>
    <t>R(gross)CAL</t>
  </si>
  <si>
    <t>hours_CAL</t>
  </si>
  <si>
    <t>ratio of calib chamber count rate/bkg count rate</t>
  </si>
  <si>
    <t>opt-hours-bkg:</t>
  </si>
  <si>
    <t>(all units in hours and pCi/L)</t>
  </si>
  <si>
    <t>unit</t>
  </si>
  <si>
    <t>indoor pCi/L</t>
  </si>
  <si>
    <t>hours_TEST</t>
  </si>
  <si>
    <t>cph@zero-air, or R(bkg)</t>
  </si>
  <si>
    <t>hours@zero-air</t>
  </si>
  <si>
    <t>hours bkg=hours TEST</t>
  </si>
  <si>
    <t>ratio of indoor test count rate/bkg count rate</t>
  </si>
  <si>
    <r>
      <t>lower bound of 1-sided CI</t>
    </r>
    <r>
      <rPr>
        <b/>
        <sz val="8"/>
        <color theme="1"/>
        <rFont val="Calibri"/>
        <family val="2"/>
        <scheme val="minor"/>
      </rPr>
      <t xml:space="preserve"> (48 hr) at 84% confidence</t>
    </r>
  </si>
  <si>
    <r>
      <t xml:space="preserve">upper bound of 1-sided CI </t>
    </r>
    <r>
      <rPr>
        <b/>
        <sz val="8"/>
        <color theme="1"/>
        <rFont val="Calibri"/>
        <family val="2"/>
        <scheme val="minor"/>
      </rPr>
      <t>(48 hr) at 84% confidence</t>
    </r>
  </si>
  <si>
    <t>(one-sided interval so only concerned with lower limit at minus 1 standard error)</t>
  </si>
  <si>
    <t>Rg</t>
  </si>
  <si>
    <t>Rb</t>
  </si>
  <si>
    <t>cpm/25 pCi/L</t>
  </si>
  <si>
    <t>pp 190-191 of Radiotracer Methodology in Biological Science, Wang and Willis, thanks Dr. Jenkins!</t>
  </si>
  <si>
    <t>Based on the estimate in UncertaintyIn2ndaryChamber! Sheet, plus 2% to allow chambers some leeway</t>
  </si>
  <si>
    <t>1-sigma uncertainty of the STAR's avg concentration during 48 hrs</t>
  </si>
  <si>
    <t xml:space="preserve">Sun Nuclear 1028 </t>
  </si>
  <si>
    <t xml:space="preserve">Sun Nuclear 1029 </t>
  </si>
  <si>
    <t>Change the values in the beige cells, to see the impact of different efficiencies in column B, and change the concentration in the calibrating chamber in column C, to see the impact on the confidence limits of actual field measurements as shown in the yellow columns</t>
  </si>
  <si>
    <t>CF=</t>
  </si>
  <si>
    <t>enter the concentration in pCi/L</t>
  </si>
  <si>
    <t>pCi/L=</t>
  </si>
  <si>
    <t>StndError=</t>
  </si>
  <si>
    <t>Hours=</t>
  </si>
  <si>
    <t>hours exposure needed to produce this standard error in the CRM's counts</t>
  </si>
  <si>
    <t>enter the standard error of counts [e.g., enter 0.10 for the ten percent standard error associated with 100 counts]</t>
  </si>
  <si>
    <t>DURATION CALCULATIONS:</t>
  </si>
  <si>
    <t>femto programmable bkg=</t>
  </si>
  <si>
    <t>CALIBRATION CHAMBER UNCERTAINTY FOR AVERAGE CONCENTRATION DURING EXPOSURE:</t>
  </si>
  <si>
    <t>enter the CRM's calibration factor in cph per pCi/L [e.g., SunNuclear 1028 cites 2.5 cph/(pCi/L) in literature]</t>
  </si>
  <si>
    <t>maximum chamber uncertainty we specify:</t>
  </si>
  <si>
    <t>calibration chamber standard error=</t>
  </si>
  <si>
    <t>RESULTING CRM UNCERTAINTY COMING OUT OF CALIBRATION:</t>
  </si>
  <si>
    <r>
      <t xml:space="preserve">(routine calibration chamber uncertainties including all sources of error, not just counting stats, and LV chamber's published uncertainties for 48 hours was about 6% uncertainty, noting that </t>
    </r>
    <r>
      <rPr>
        <u/>
        <sz val="8"/>
        <color theme="1"/>
        <rFont val="Calibri"/>
        <family val="2"/>
        <scheme val="minor"/>
      </rPr>
      <t>counting error is NOT the largest error component for chambers</t>
    </r>
    <r>
      <rPr>
        <sz val="8"/>
        <color theme="1"/>
        <rFont val="Calibri"/>
        <family val="2"/>
        <scheme val="minor"/>
      </rPr>
      <t>)</t>
    </r>
  </si>
  <si>
    <t>(enter values in green cells to see yellow cell values change)</t>
  </si>
  <si>
    <t>confidence intervals on the actual field measurement at this concentration and with the CRM uncertainty in column I</t>
  </si>
  <si>
    <t>Our goal is a limit of about 12% total uncertainty of a CRM coming out of calibration, because this results in the ability to distinguish between 3.5 and 4 pCi/L for 48-hour measurements, and be correct approximately 84% (1-sigma, 1-tailed) of the time, which requires an approximately 12% 1-sigma total uncertainty at 4 pCi/L.</t>
  </si>
  <si>
    <t>48-hour CRM's counting uncertainty at this concentration</t>
  </si>
  <si>
    <t>24-hour CRM's counting uncertainty at this concentration</t>
  </si>
  <si>
    <t>tot counts=</t>
  </si>
  <si>
    <r>
      <t xml:space="preserve">(enter values in </t>
    </r>
    <r>
      <rPr>
        <b/>
        <sz val="12"/>
        <color theme="9"/>
        <rFont val="Calibri"/>
        <family val="2"/>
        <scheme val="minor"/>
      </rPr>
      <t>green</t>
    </r>
    <r>
      <rPr>
        <sz val="11"/>
        <color theme="1"/>
        <rFont val="Calibri"/>
        <family val="2"/>
        <scheme val="minor"/>
      </rPr>
      <t xml:space="preserve"> cells to see yellow cell values change)</t>
    </r>
  </si>
  <si>
    <t>RPD</t>
  </si>
  <si>
    <t>COV</t>
  </si>
  <si>
    <t>limits are 36% and 67% RPE and RPD</t>
  </si>
  <si>
    <t>CROSSCHECKS</t>
  </si>
  <si>
    <t>RPE/COV=sqrt(2)</t>
  </si>
  <si>
    <t>QC CHECKS (DUPLICATES)</t>
  </si>
  <si>
    <t>CRM1</t>
  </si>
  <si>
    <t>CRM2</t>
  </si>
  <si>
    <t>RPE</t>
  </si>
  <si>
    <t>based on in control of:</t>
  </si>
  <si>
    <t xml:space="preserve"> upper bound on BIAS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</si>
</sst>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0"/>
    <numFmt numFmtId="165" formatCode="0.0"/>
    <numFmt numFmtId="166" formatCode="0.0%"/>
    <numFmt numFmtId="167" formatCode="0.0000%"/>
    <numFmt numFmtId="168" formatCode="0.000%"/>
  </numFmts>
  <fonts count="29" x14ac:knownFonts="1">
    <font>
      <sz val="11"/>
      <color theme="1"/>
      <name val="Calibri"/>
      <family val="2"/>
      <scheme val="minor"/>
    </font>
    <font>
      <b/>
      <sz val="11"/>
      <color theme="1"/>
      <name val="Calibri"/>
      <family val="2"/>
      <scheme val="minor"/>
    </font>
    <font>
      <b/>
      <u/>
      <sz val="10"/>
      <color theme="1"/>
      <name val="Calibri"/>
      <family val="2"/>
      <scheme val="minor"/>
    </font>
    <font>
      <b/>
      <u/>
      <sz val="10"/>
      <name val="Calibri"/>
      <family val="2"/>
      <scheme val="minor"/>
    </font>
    <font>
      <b/>
      <u/>
      <vertAlign val="superscript"/>
      <sz val="10"/>
      <color theme="1"/>
      <name val="Calibri"/>
      <family val="2"/>
      <scheme val="minor"/>
    </font>
    <font>
      <i/>
      <sz val="11"/>
      <color theme="1"/>
      <name val="Calibri"/>
      <family val="2"/>
      <scheme val="minor"/>
    </font>
    <font>
      <u/>
      <sz val="11"/>
      <color theme="1"/>
      <name val="Calibri"/>
      <family val="2"/>
      <scheme val="minor"/>
    </font>
    <font>
      <sz val="11"/>
      <name val="Calibri"/>
      <family val="2"/>
      <scheme val="minor"/>
    </font>
    <font>
      <b/>
      <sz val="11"/>
      <name val="Calibri"/>
      <family val="2"/>
      <scheme val="minor"/>
    </font>
    <font>
      <b/>
      <sz val="9"/>
      <color indexed="81"/>
      <name val="Tahoma"/>
      <family val="2"/>
    </font>
    <font>
      <b/>
      <sz val="8"/>
      <color indexed="81"/>
      <name val="Tahoma"/>
      <family val="2"/>
    </font>
    <font>
      <sz val="11"/>
      <color theme="1"/>
      <name val="Calibri"/>
      <family val="2"/>
      <scheme val="minor"/>
    </font>
    <font>
      <b/>
      <sz val="10"/>
      <color theme="1"/>
      <name val="Calibri"/>
      <family val="2"/>
      <scheme val="minor"/>
    </font>
    <font>
      <sz val="10"/>
      <color theme="1"/>
      <name val="Calibri"/>
      <family val="2"/>
      <scheme val="minor"/>
    </font>
    <font>
      <sz val="8"/>
      <color theme="1"/>
      <name val="Calibri"/>
      <family val="2"/>
      <scheme val="minor"/>
    </font>
    <font>
      <b/>
      <sz val="11"/>
      <color rgb="FF002060"/>
      <name val="Calibri"/>
      <family val="2"/>
      <scheme val="minor"/>
    </font>
    <font>
      <b/>
      <i/>
      <u/>
      <sz val="10"/>
      <color theme="1"/>
      <name val="Calibri"/>
      <family val="2"/>
      <scheme val="minor"/>
    </font>
    <font>
      <sz val="11"/>
      <color rgb="FF002060"/>
      <name val="Calibri"/>
      <family val="2"/>
      <scheme val="minor"/>
    </font>
    <font>
      <b/>
      <sz val="8"/>
      <color rgb="FFC00000"/>
      <name val="Calibri"/>
      <family val="2"/>
      <scheme val="minor"/>
    </font>
    <font>
      <b/>
      <sz val="11"/>
      <color rgb="FFFF0000"/>
      <name val="Calibri"/>
      <family val="2"/>
      <scheme val="minor"/>
    </font>
    <font>
      <b/>
      <sz val="8"/>
      <color theme="1"/>
      <name val="Calibri"/>
      <family val="2"/>
      <scheme val="minor"/>
    </font>
    <font>
      <b/>
      <sz val="9"/>
      <color indexed="81"/>
      <name val="Tahoma"/>
      <charset val="1"/>
    </font>
    <font>
      <b/>
      <sz val="11"/>
      <color rgb="FFC00000"/>
      <name val="Calibri"/>
      <family val="2"/>
      <scheme val="minor"/>
    </font>
    <font>
      <b/>
      <sz val="8"/>
      <color rgb="FF000000"/>
      <name val="Calibri"/>
      <family val="2"/>
      <scheme val="minor"/>
    </font>
    <font>
      <b/>
      <u/>
      <sz val="11"/>
      <color theme="1"/>
      <name val="Calibri"/>
      <family val="2"/>
      <scheme val="minor"/>
    </font>
    <font>
      <sz val="9"/>
      <color theme="1"/>
      <name val="Calibri"/>
      <family val="2"/>
      <scheme val="minor"/>
    </font>
    <font>
      <u/>
      <sz val="8"/>
      <color theme="1"/>
      <name val="Calibri"/>
      <family val="2"/>
      <scheme val="minor"/>
    </font>
    <font>
      <sz val="8"/>
      <name val="Calibri"/>
      <family val="2"/>
      <scheme val="minor"/>
    </font>
    <font>
      <b/>
      <sz val="12"/>
      <color theme="9"/>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1" tint="0.34998626667073579"/>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hair">
        <color indexed="64"/>
      </right>
      <top style="hair">
        <color indexed="64"/>
      </top>
      <bottom style="dotted">
        <color indexed="64"/>
      </bottom>
      <diagonal/>
    </border>
    <border>
      <left style="hair">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hair">
        <color indexed="64"/>
      </right>
      <top style="dotted">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hair">
        <color indexed="64"/>
      </right>
      <top style="dotted">
        <color indexed="64"/>
      </top>
      <bottom style="hair">
        <color indexed="64"/>
      </bottom>
      <diagonal/>
    </border>
    <border>
      <left/>
      <right style="dotted">
        <color indexed="64"/>
      </right>
      <top style="hair">
        <color indexed="64"/>
      </top>
      <bottom style="dotted">
        <color indexed="64"/>
      </bottom>
      <diagonal/>
    </border>
    <border>
      <left style="dotted">
        <color indexed="64"/>
      </left>
      <right/>
      <top style="hair">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medium">
        <color indexed="64"/>
      </bottom>
      <diagonal/>
    </border>
    <border>
      <left style="dotted">
        <color indexed="64"/>
      </left>
      <right/>
      <top style="dotted">
        <color indexed="64"/>
      </top>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11" fillId="0" borderId="0" applyFont="0" applyFill="0" applyBorder="0" applyAlignment="0" applyProtection="0"/>
  </cellStyleXfs>
  <cellXfs count="163">
    <xf numFmtId="0" fontId="0" fillId="0" borderId="0" xfId="0"/>
    <xf numFmtId="0" fontId="2" fillId="0" borderId="0" xfId="0" applyFont="1" applyAlignment="1">
      <alignment horizontal="center" wrapText="1"/>
    </xf>
    <xf numFmtId="0" fontId="3" fillId="0" borderId="0" xfId="0" applyFont="1" applyFill="1" applyAlignment="1">
      <alignment horizontal="center" wrapText="1"/>
    </xf>
    <xf numFmtId="0" fontId="0" fillId="0" borderId="0" xfId="0" applyFill="1"/>
    <xf numFmtId="0" fontId="0" fillId="2" borderId="0" xfId="0" applyFill="1"/>
    <xf numFmtId="166" fontId="0" fillId="0" borderId="0" xfId="0" applyNumberFormat="1"/>
    <xf numFmtId="0" fontId="0" fillId="3" borderId="0" xfId="0" applyFill="1"/>
    <xf numFmtId="0" fontId="0" fillId="4" borderId="2" xfId="0" applyFill="1" applyBorder="1" applyAlignment="1">
      <alignment vertical="top" wrapText="1"/>
    </xf>
    <xf numFmtId="0" fontId="0" fillId="4" borderId="3" xfId="0" applyFill="1" applyBorder="1" applyAlignment="1">
      <alignment vertical="top" wrapText="1"/>
    </xf>
    <xf numFmtId="0" fontId="0" fillId="4" borderId="3" xfId="0" applyFill="1" applyBorder="1"/>
    <xf numFmtId="0" fontId="0" fillId="4" borderId="3" xfId="0" applyFill="1" applyBorder="1" applyAlignment="1">
      <alignment horizontal="center"/>
    </xf>
    <xf numFmtId="0" fontId="0" fillId="4" borderId="4" xfId="0" applyFill="1" applyBorder="1"/>
    <xf numFmtId="0" fontId="0" fillId="4" borderId="5" xfId="0" applyFill="1" applyBorder="1" applyAlignment="1">
      <alignment vertical="top" wrapText="1"/>
    </xf>
    <xf numFmtId="0" fontId="0" fillId="4" borderId="6" xfId="0" applyFill="1" applyBorder="1" applyAlignment="1">
      <alignment vertical="top" wrapText="1"/>
    </xf>
    <xf numFmtId="0" fontId="0" fillId="4" borderId="6" xfId="0" applyFill="1" applyBorder="1"/>
    <xf numFmtId="0" fontId="0" fillId="4" borderId="6" xfId="0" applyFill="1" applyBorder="1" applyAlignment="1">
      <alignment horizontal="center"/>
    </xf>
    <xf numFmtId="0" fontId="0" fillId="4" borderId="7" xfId="0" applyFill="1" applyBorder="1"/>
    <xf numFmtId="0" fontId="0" fillId="4" borderId="5" xfId="0" applyFill="1" applyBorder="1"/>
    <xf numFmtId="11" fontId="0" fillId="4" borderId="6" xfId="0" applyNumberFormat="1" applyFill="1" applyBorder="1"/>
    <xf numFmtId="10" fontId="0" fillId="4" borderId="6" xfId="0" applyNumberFormat="1" applyFill="1" applyBorder="1"/>
    <xf numFmtId="0" fontId="5" fillId="4" borderId="7" xfId="0" applyFont="1" applyFill="1" applyBorder="1"/>
    <xf numFmtId="0" fontId="0" fillId="4" borderId="8" xfId="0" applyFill="1" applyBorder="1" applyAlignment="1">
      <alignment wrapText="1"/>
    </xf>
    <xf numFmtId="0" fontId="0" fillId="4" borderId="9" xfId="0" applyFill="1" applyBorder="1" applyAlignment="1">
      <alignment vertical="top" wrapText="1"/>
    </xf>
    <xf numFmtId="0" fontId="0" fillId="4" borderId="9" xfId="0" applyFill="1" applyBorder="1"/>
    <xf numFmtId="0" fontId="0" fillId="4" borderId="9" xfId="0" applyFill="1" applyBorder="1" applyAlignment="1">
      <alignment horizontal="center"/>
    </xf>
    <xf numFmtId="11" fontId="0" fillId="4" borderId="9" xfId="0" applyNumberFormat="1" applyFill="1" applyBorder="1"/>
    <xf numFmtId="10" fontId="1" fillId="4" borderId="9" xfId="0" applyNumberFormat="1" applyFont="1" applyFill="1" applyBorder="1"/>
    <xf numFmtId="0" fontId="0" fillId="4" borderId="10" xfId="0" applyFill="1" applyBorder="1"/>
    <xf numFmtId="0" fontId="13" fillId="0" borderId="0" xfId="0" applyFont="1" applyAlignment="1">
      <alignment horizontal="center" wrapText="1"/>
    </xf>
    <xf numFmtId="0" fontId="0" fillId="5" borderId="0" xfId="0" applyFill="1"/>
    <xf numFmtId="0" fontId="14" fillId="0" borderId="0" xfId="0" applyFont="1"/>
    <xf numFmtId="0" fontId="0" fillId="6" borderId="0" xfId="0" applyFill="1"/>
    <xf numFmtId="0" fontId="0" fillId="6" borderId="11" xfId="0" applyFill="1" applyBorder="1" applyAlignment="1">
      <alignment vertical="top" wrapText="1"/>
    </xf>
    <xf numFmtId="164" fontId="7" fillId="6" borderId="3" xfId="0" applyNumberFormat="1" applyFont="1" applyFill="1" applyBorder="1"/>
    <xf numFmtId="11" fontId="0" fillId="6" borderId="3" xfId="0" applyNumberFormat="1" applyFill="1" applyBorder="1"/>
    <xf numFmtId="0" fontId="0" fillId="6" borderId="3" xfId="0" applyFill="1" applyBorder="1"/>
    <xf numFmtId="10" fontId="0" fillId="6" borderId="3" xfId="0" applyNumberFormat="1" applyFill="1" applyBorder="1"/>
    <xf numFmtId="0" fontId="0" fillId="6" borderId="12" xfId="0" applyFill="1" applyBorder="1"/>
    <xf numFmtId="0" fontId="0" fillId="6" borderId="13" xfId="0" applyFill="1" applyBorder="1" applyAlignment="1">
      <alignment wrapText="1"/>
    </xf>
    <xf numFmtId="0" fontId="0" fillId="6" borderId="6" xfId="0" applyFill="1" applyBorder="1" applyAlignment="1">
      <alignment vertical="top" wrapText="1"/>
    </xf>
    <xf numFmtId="0" fontId="0" fillId="6" borderId="6" xfId="0" applyFill="1" applyBorder="1" applyAlignment="1">
      <alignment horizontal="center"/>
    </xf>
    <xf numFmtId="164" fontId="7" fillId="6" borderId="6" xfId="0" applyNumberFormat="1" applyFont="1" applyFill="1" applyBorder="1"/>
    <xf numFmtId="11" fontId="0" fillId="6" borderId="6" xfId="0" applyNumberFormat="1" applyFill="1" applyBorder="1"/>
    <xf numFmtId="0" fontId="0" fillId="6" borderId="6" xfId="0" applyFill="1" applyBorder="1"/>
    <xf numFmtId="0" fontId="0" fillId="6" borderId="14" xfId="0" applyFill="1" applyBorder="1"/>
    <xf numFmtId="0" fontId="0" fillId="6" borderId="13" xfId="0" applyFill="1" applyBorder="1" applyAlignment="1">
      <alignment vertical="top" wrapText="1"/>
    </xf>
    <xf numFmtId="164" fontId="0" fillId="6" borderId="6" xfId="0" applyNumberFormat="1" applyFill="1" applyBorder="1"/>
    <xf numFmtId="0" fontId="1" fillId="6" borderId="13" xfId="0" applyFont="1" applyFill="1" applyBorder="1"/>
    <xf numFmtId="164" fontId="1" fillId="6" borderId="6" xfId="0" applyNumberFormat="1" applyFont="1" applyFill="1" applyBorder="1"/>
    <xf numFmtId="0" fontId="0" fillId="6" borderId="13" xfId="0" applyFill="1" applyBorder="1"/>
    <xf numFmtId="10" fontId="0" fillId="6" borderId="6" xfId="0" applyNumberFormat="1" applyFill="1" applyBorder="1"/>
    <xf numFmtId="0" fontId="8" fillId="6" borderId="15" xfId="0" applyFont="1" applyFill="1" applyBorder="1"/>
    <xf numFmtId="0" fontId="0" fillId="6" borderId="16" xfId="0" applyFill="1" applyBorder="1"/>
    <xf numFmtId="164" fontId="0" fillId="6" borderId="16" xfId="0" applyNumberFormat="1" applyFill="1" applyBorder="1"/>
    <xf numFmtId="0" fontId="0" fillId="6" borderId="16" xfId="0" applyFill="1" applyBorder="1" applyAlignment="1">
      <alignment horizontal="center"/>
    </xf>
    <xf numFmtId="11" fontId="0" fillId="6" borderId="16" xfId="0" applyNumberFormat="1" applyFill="1" applyBorder="1"/>
    <xf numFmtId="10" fontId="15" fillId="6" borderId="17" xfId="0" applyNumberFormat="1" applyFont="1" applyFill="1" applyBorder="1"/>
    <xf numFmtId="0" fontId="15" fillId="6" borderId="18" xfId="0" applyFont="1" applyFill="1" applyBorder="1"/>
    <xf numFmtId="0" fontId="0" fillId="6" borderId="12" xfId="0" applyFill="1" applyBorder="1" applyAlignment="1">
      <alignment vertical="top" wrapText="1"/>
    </xf>
    <xf numFmtId="0" fontId="0" fillId="6" borderId="11" xfId="0" applyFill="1" applyBorder="1" applyAlignment="1">
      <alignment horizontal="center"/>
    </xf>
    <xf numFmtId="0" fontId="0" fillId="4" borderId="16" xfId="0" applyFill="1" applyBorder="1"/>
    <xf numFmtId="10" fontId="1" fillId="6" borderId="1" xfId="0" applyNumberFormat="1" applyFont="1" applyFill="1" applyBorder="1"/>
    <xf numFmtId="0" fontId="12" fillId="6" borderId="0" xfId="0" applyFont="1" applyFill="1"/>
    <xf numFmtId="164" fontId="17" fillId="6" borderId="19" xfId="0" applyNumberFormat="1" applyFont="1" applyFill="1" applyBorder="1"/>
    <xf numFmtId="164" fontId="17" fillId="6" borderId="6" xfId="0" applyNumberFormat="1" applyFont="1" applyFill="1" applyBorder="1"/>
    <xf numFmtId="0" fontId="17" fillId="6" borderId="13" xfId="0" applyFont="1" applyFill="1" applyBorder="1"/>
    <xf numFmtId="0" fontId="0" fillId="6" borderId="20" xfId="0" applyFill="1" applyBorder="1" applyAlignment="1">
      <alignment vertical="top" wrapText="1"/>
    </xf>
    <xf numFmtId="0" fontId="0" fillId="6" borderId="21" xfId="0" applyFill="1" applyBorder="1" applyAlignment="1">
      <alignment vertical="top" wrapText="1"/>
    </xf>
    <xf numFmtId="0" fontId="0" fillId="6" borderId="20" xfId="0" applyFill="1" applyBorder="1" applyAlignment="1">
      <alignment horizontal="center"/>
    </xf>
    <xf numFmtId="0" fontId="0" fillId="6" borderId="19" xfId="0" applyFill="1" applyBorder="1"/>
    <xf numFmtId="10" fontId="0" fillId="6" borderId="19" xfId="0" applyNumberFormat="1" applyFill="1" applyBorder="1"/>
    <xf numFmtId="0" fontId="0" fillId="6" borderId="21" xfId="0" applyFill="1" applyBorder="1"/>
    <xf numFmtId="167" fontId="1" fillId="6" borderId="1" xfId="0" applyNumberFormat="1" applyFont="1" applyFill="1" applyBorder="1"/>
    <xf numFmtId="0" fontId="14" fillId="0" borderId="27" xfId="0" applyFont="1" applyBorder="1"/>
    <xf numFmtId="0" fontId="0" fillId="0" borderId="27" xfId="0" applyBorder="1"/>
    <xf numFmtId="0" fontId="0" fillId="0" borderId="28" xfId="0" applyBorder="1"/>
    <xf numFmtId="0" fontId="0" fillId="0" borderId="29" xfId="0" applyBorder="1"/>
    <xf numFmtId="0" fontId="14" fillId="0" borderId="31" xfId="0" applyFont="1" applyBorder="1"/>
    <xf numFmtId="166" fontId="0" fillId="0" borderId="31" xfId="0" applyNumberFormat="1" applyBorder="1"/>
    <xf numFmtId="166" fontId="0" fillId="0" borderId="32" xfId="0" applyNumberFormat="1" applyBorder="1"/>
    <xf numFmtId="0" fontId="0" fillId="0" borderId="31" xfId="0" applyFill="1" applyBorder="1"/>
    <xf numFmtId="0" fontId="0" fillId="0" borderId="0" xfId="0" applyAlignment="1">
      <alignment horizontal="left"/>
    </xf>
    <xf numFmtId="0" fontId="14" fillId="0" borderId="30" xfId="0" applyFont="1" applyBorder="1" applyAlignment="1">
      <alignment wrapText="1"/>
    </xf>
    <xf numFmtId="0" fontId="14" fillId="0" borderId="30" xfId="0" applyFont="1" applyBorder="1" applyAlignment="1">
      <alignment horizontal="center" wrapText="1"/>
    </xf>
    <xf numFmtId="0" fontId="14" fillId="0" borderId="30" xfId="0" applyFont="1" applyFill="1" applyBorder="1" applyAlignment="1">
      <alignment horizont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0" fillId="4" borderId="6" xfId="0" applyFill="1" applyBorder="1" applyAlignment="1">
      <alignment wrapText="1"/>
    </xf>
    <xf numFmtId="0" fontId="0" fillId="4" borderId="5" xfId="0" applyFill="1" applyBorder="1" applyAlignment="1">
      <alignment wrapText="1"/>
    </xf>
    <xf numFmtId="11" fontId="0" fillId="0" borderId="0" xfId="1" applyNumberFormat="1" applyFont="1" applyFill="1"/>
    <xf numFmtId="0" fontId="18" fillId="0" borderId="0" xfId="0" applyFont="1" applyFill="1"/>
    <xf numFmtId="0" fontId="14" fillId="0" borderId="31" xfId="0" applyFont="1" applyFill="1" applyBorder="1" applyAlignment="1">
      <alignment horizontal="center" wrapText="1"/>
    </xf>
    <xf numFmtId="0" fontId="14" fillId="2" borderId="22" xfId="0" applyFont="1" applyFill="1" applyBorder="1" applyAlignment="1">
      <alignment horizontal="center" wrapText="1"/>
    </xf>
    <xf numFmtId="0" fontId="0" fillId="0" borderId="0" xfId="0" applyFont="1"/>
    <xf numFmtId="0" fontId="0" fillId="0" borderId="0" xfId="0" applyFont="1" applyAlignment="1"/>
    <xf numFmtId="0" fontId="0" fillId="0" borderId="0" xfId="0" quotePrefix="1"/>
    <xf numFmtId="165" fontId="0" fillId="0" borderId="26" xfId="0" applyNumberFormat="1" applyFill="1" applyBorder="1"/>
    <xf numFmtId="0" fontId="19" fillId="0" borderId="0" xfId="0" applyFont="1"/>
    <xf numFmtId="0" fontId="19" fillId="0" borderId="27" xfId="0" applyFont="1" applyBorder="1"/>
    <xf numFmtId="166" fontId="19" fillId="0" borderId="31" xfId="0" applyNumberFormat="1" applyFont="1" applyBorder="1"/>
    <xf numFmtId="0" fontId="14" fillId="0" borderId="22" xfId="0" applyFont="1" applyFill="1" applyBorder="1" applyAlignment="1">
      <alignment horizontal="center" wrapText="1"/>
    </xf>
    <xf numFmtId="9" fontId="0" fillId="0" borderId="31" xfId="0" applyNumberFormat="1" applyFill="1" applyBorder="1"/>
    <xf numFmtId="9" fontId="19" fillId="0" borderId="31" xfId="0" applyNumberFormat="1" applyFont="1" applyFill="1" applyBorder="1"/>
    <xf numFmtId="9" fontId="0" fillId="0" borderId="32" xfId="0" applyNumberFormat="1" applyFill="1" applyBorder="1"/>
    <xf numFmtId="0" fontId="6" fillId="0" borderId="0" xfId="0" applyFont="1"/>
    <xf numFmtId="1" fontId="22" fillId="0" borderId="0" xfId="0" applyNumberFormat="1" applyFont="1"/>
    <xf numFmtId="165" fontId="0" fillId="2" borderId="22" xfId="0" applyNumberFormat="1" applyFill="1" applyBorder="1"/>
    <xf numFmtId="165" fontId="19" fillId="2" borderId="22" xfId="0" applyNumberFormat="1" applyFont="1" applyFill="1" applyBorder="1"/>
    <xf numFmtId="1" fontId="22" fillId="2" borderId="0" xfId="0" applyNumberFormat="1" applyFont="1" applyFill="1"/>
    <xf numFmtId="0" fontId="14" fillId="0" borderId="0" xfId="0" applyFont="1" applyAlignment="1">
      <alignment horizontal="center" wrapText="1"/>
    </xf>
    <xf numFmtId="0" fontId="14" fillId="6" borderId="22" xfId="0" applyFont="1" applyFill="1" applyBorder="1" applyAlignment="1">
      <alignment horizontal="center" wrapText="1"/>
    </xf>
    <xf numFmtId="0" fontId="14" fillId="6" borderId="22" xfId="0" applyFont="1" applyFill="1" applyBorder="1"/>
    <xf numFmtId="1" fontId="22" fillId="0" borderId="28" xfId="0" applyNumberFormat="1" applyFont="1" applyBorder="1"/>
    <xf numFmtId="0" fontId="0" fillId="0" borderId="35" xfId="0" applyBorder="1"/>
    <xf numFmtId="0" fontId="0" fillId="0" borderId="22" xfId="0" applyFill="1" applyBorder="1"/>
    <xf numFmtId="1" fontId="22" fillId="0" borderId="35" xfId="0" applyNumberFormat="1" applyFont="1" applyBorder="1"/>
    <xf numFmtId="1" fontId="0" fillId="0" borderId="28" xfId="0" applyNumberFormat="1" applyBorder="1"/>
    <xf numFmtId="1" fontId="0" fillId="0" borderId="35" xfId="0" applyNumberFormat="1" applyBorder="1"/>
    <xf numFmtId="0" fontId="23" fillId="0" borderId="0" xfId="0" applyFont="1"/>
    <xf numFmtId="0" fontId="0" fillId="7" borderId="28" xfId="0" applyFill="1" applyBorder="1"/>
    <xf numFmtId="0" fontId="0" fillId="7" borderId="22" xfId="0" applyFill="1" applyBorder="1"/>
    <xf numFmtId="0" fontId="0" fillId="7" borderId="35" xfId="0" applyFill="1" applyBorder="1"/>
    <xf numFmtId="0" fontId="0" fillId="7" borderId="0" xfId="0" applyFill="1"/>
    <xf numFmtId="0" fontId="0" fillId="7" borderId="31" xfId="0" applyFill="1" applyBorder="1"/>
    <xf numFmtId="0" fontId="19" fillId="7" borderId="31" xfId="0" applyFont="1" applyFill="1" applyBorder="1"/>
    <xf numFmtId="0" fontId="19" fillId="7" borderId="0" xfId="0" applyFont="1" applyFill="1"/>
    <xf numFmtId="0" fontId="0" fillId="7" borderId="32" xfId="0" applyFill="1" applyBorder="1"/>
    <xf numFmtId="0" fontId="14" fillId="8" borderId="22" xfId="0" applyFont="1" applyFill="1" applyBorder="1"/>
    <xf numFmtId="0" fontId="14" fillId="8" borderId="33" xfId="0" applyFont="1" applyFill="1" applyBorder="1"/>
    <xf numFmtId="0" fontId="0" fillId="0" borderId="32" xfId="0" applyFill="1" applyBorder="1"/>
    <xf numFmtId="0" fontId="0" fillId="3" borderId="22" xfId="0" applyFill="1" applyBorder="1"/>
    <xf numFmtId="0" fontId="24" fillId="0" borderId="0" xfId="0" applyFont="1"/>
    <xf numFmtId="0" fontId="13" fillId="0" borderId="0" xfId="0" applyFont="1" applyAlignment="1">
      <alignment wrapText="1"/>
    </xf>
    <xf numFmtId="1" fontId="19" fillId="2" borderId="0" xfId="0" applyNumberFormat="1" applyFont="1" applyFill="1"/>
    <xf numFmtId="2" fontId="19" fillId="2" borderId="0" xfId="0" applyNumberFormat="1" applyFont="1" applyFill="1"/>
    <xf numFmtId="0" fontId="27" fillId="9" borderId="26" xfId="0" applyFont="1" applyFill="1" applyBorder="1"/>
    <xf numFmtId="0" fontId="27" fillId="9" borderId="0" xfId="0" applyFont="1" applyFill="1" applyBorder="1"/>
    <xf numFmtId="0" fontId="7" fillId="9" borderId="26" xfId="0" applyFont="1" applyFill="1" applyBorder="1"/>
    <xf numFmtId="0" fontId="7" fillId="9" borderId="0" xfId="0" applyFont="1" applyFill="1" applyBorder="1"/>
    <xf numFmtId="0" fontId="8" fillId="9" borderId="26" xfId="0" applyFont="1" applyFill="1" applyBorder="1"/>
    <xf numFmtId="0" fontId="8" fillId="9" borderId="0" xfId="0" applyFont="1" applyFill="1" applyBorder="1"/>
    <xf numFmtId="0" fontId="7" fillId="9" borderId="28" xfId="0" applyFont="1" applyFill="1" applyBorder="1"/>
    <xf numFmtId="0" fontId="27" fillId="9" borderId="27" xfId="0" applyFont="1" applyFill="1" applyBorder="1"/>
    <xf numFmtId="0" fontId="7" fillId="9" borderId="27" xfId="0" applyFont="1" applyFill="1" applyBorder="1"/>
    <xf numFmtId="0" fontId="8" fillId="9" borderId="27" xfId="0" applyFont="1" applyFill="1" applyBorder="1"/>
    <xf numFmtId="0" fontId="7" fillId="9" borderId="29" xfId="0" applyFont="1" applyFill="1" applyBorder="1"/>
    <xf numFmtId="0" fontId="27" fillId="0" borderId="0" xfId="0" applyFont="1" applyFill="1" applyBorder="1"/>
    <xf numFmtId="0" fontId="7" fillId="0" borderId="0" xfId="0" applyFont="1" applyFill="1" applyBorder="1"/>
    <xf numFmtId="0" fontId="8" fillId="0" borderId="0" xfId="0" applyFont="1" applyFill="1" applyBorder="1"/>
    <xf numFmtId="0" fontId="7" fillId="0" borderId="28" xfId="0" applyFont="1" applyFill="1" applyBorder="1"/>
    <xf numFmtId="9" fontId="0" fillId="0" borderId="0" xfId="0" applyNumberFormat="1"/>
    <xf numFmtId="168" fontId="0" fillId="0" borderId="0" xfId="0" applyNumberFormat="1"/>
    <xf numFmtId="0" fontId="14" fillId="0" borderId="26" xfId="0" applyFont="1" applyBorder="1" applyAlignment="1">
      <alignment horizontal="left" wrapText="1"/>
    </xf>
    <xf numFmtId="0" fontId="14" fillId="0" borderId="0" xfId="0" applyFont="1" applyAlignment="1">
      <alignment horizontal="left" wrapText="1"/>
    </xf>
    <xf numFmtId="0" fontId="25" fillId="0" borderId="0" xfId="0" applyFont="1" applyAlignment="1">
      <alignment horizontal="left" wrapText="1"/>
    </xf>
    <xf numFmtId="0" fontId="14" fillId="0" borderId="23" xfId="0" applyFont="1" applyBorder="1" applyAlignment="1">
      <alignment horizontal="center" wrapText="1"/>
    </xf>
    <xf numFmtId="0" fontId="14" fillId="0" borderId="24" xfId="0" applyFont="1" applyBorder="1" applyAlignment="1">
      <alignment horizontal="center" wrapText="1"/>
    </xf>
    <xf numFmtId="0" fontId="14" fillId="0" borderId="25" xfId="0" applyFont="1" applyBorder="1" applyAlignment="1">
      <alignment horizontal="center" wrapText="1"/>
    </xf>
    <xf numFmtId="0" fontId="14" fillId="2" borderId="34" xfId="0" applyFont="1" applyFill="1" applyBorder="1" applyAlignment="1">
      <alignment horizontal="center" wrapText="1"/>
    </xf>
    <xf numFmtId="0" fontId="14" fillId="2" borderId="33" xfId="0" applyFont="1" applyFill="1" applyBorder="1" applyAlignment="1">
      <alignment horizontal="center" wrapText="1"/>
    </xf>
    <xf numFmtId="0" fontId="0" fillId="0" borderId="0" xfId="0" applyAlignment="1">
      <alignment vertical="top" wrapText="1"/>
    </xf>
    <xf numFmtId="0" fontId="12" fillId="5" borderId="0" xfId="0" applyFont="1" applyFill="1" applyAlignment="1">
      <alignment wrapText="1"/>
    </xf>
    <xf numFmtId="0" fontId="0" fillId="0" borderId="0" xfId="0" applyAlignment="1"/>
  </cellXfs>
  <cellStyles count="2">
    <cellStyle name="Normal" xfId="0" builtinId="0"/>
    <cellStyle name="Percent" xfId="1" builtinId="5"/>
  </cellStyles>
  <dxfs count="0"/>
  <tableStyles count="0" defaultTableStyle="TableStyleMedium2" defaultPivotStyle="PivotStyleLight16"/>
  <colors>
    <mruColors>
      <color rgb="FFFF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320039</xdr:colOff>
      <xdr:row>7</xdr:row>
      <xdr:rowOff>154305</xdr:rowOff>
    </xdr:from>
    <xdr:to>
      <xdr:col>13</xdr:col>
      <xdr:colOff>552450</xdr:colOff>
      <xdr:row>13</xdr:row>
      <xdr:rowOff>165504</xdr:rowOff>
    </xdr:to>
    <xdr:pic>
      <xdr:nvPicPr>
        <xdr:cNvPr id="4" name="Picture 3"/>
        <xdr:cNvPicPr>
          <a:picLocks noChangeAspect="1"/>
        </xdr:cNvPicPr>
      </xdr:nvPicPr>
      <xdr:blipFill>
        <a:blip xmlns:r="http://schemas.openxmlformats.org/officeDocument/2006/relationships" r:embed="rId1"/>
        <a:stretch>
          <a:fillRect/>
        </a:stretch>
      </xdr:blipFill>
      <xdr:spPr>
        <a:xfrm>
          <a:off x="5949314" y="1649730"/>
          <a:ext cx="2689861" cy="10970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46643</xdr:colOff>
      <xdr:row>1</xdr:row>
      <xdr:rowOff>378403</xdr:rowOff>
    </xdr:from>
    <xdr:to>
      <xdr:col>21</xdr:col>
      <xdr:colOff>134672</xdr:colOff>
      <xdr:row>7</xdr:row>
      <xdr:rowOff>134611</xdr:rowOff>
    </xdr:to>
    <xdr:pic>
      <xdr:nvPicPr>
        <xdr:cNvPr id="2" name="Picture 1"/>
        <xdr:cNvPicPr>
          <a:picLocks noChangeAspect="1"/>
        </xdr:cNvPicPr>
      </xdr:nvPicPr>
      <xdr:blipFill>
        <a:blip xmlns:r="http://schemas.openxmlformats.org/officeDocument/2006/relationships" r:embed="rId1"/>
        <a:stretch>
          <a:fillRect/>
        </a:stretch>
      </xdr:blipFill>
      <xdr:spPr>
        <a:xfrm>
          <a:off x="15496193" y="559378"/>
          <a:ext cx="1916829" cy="14992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23</xdr:row>
      <xdr:rowOff>0</xdr:rowOff>
    </xdr:from>
    <xdr:to>
      <xdr:col>15</xdr:col>
      <xdr:colOff>495300</xdr:colOff>
      <xdr:row>37</xdr:row>
      <xdr:rowOff>144780</xdr:rowOff>
    </xdr:to>
    <xdr:sp macro="" textlink="">
      <xdr:nvSpPr>
        <xdr:cNvPr id="2" name="TextBox 1"/>
        <xdr:cNvSpPr txBox="1"/>
      </xdr:nvSpPr>
      <xdr:spPr>
        <a:xfrm>
          <a:off x="10538460" y="9456420"/>
          <a:ext cx="6256020" cy="3474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Comment from Arthur Scott:  The operator (and the customer) should have reasonable expectation that a field measurement of 3.5 pCi is indeed less than 4pCi. This implies a total uncertainty (count statistics plus calibration) of &lt;12.5%. How much of this uncertainty can reasonably allocated to calibration?</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If the nominal CRM has a sensitivity of 2 cph/pCi/l, then the sd of a 48 h count at 4 pCi is 5%, which would allow for a calibration bias/uncertainty up to about 8%.</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calibration is carried out at a concentration high enough for the statistical error in CRM counts to be about 2%, which leaves around 6% uncertainty for STAR concentration measurement statistical uncertainties plus transfer system biases. For example, if Montgomery says the Lucas cells are good to 3%, there is a potential bias of 2-3%, depending on number of cells used, plus the statistical error in cell and chamber measurement system count etc.</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All in all, I think a total calibration uncertainty in the region of 6% is necessary, and achievable, and at the least could be used as a basis for discussion.</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zoomScaleNormal="100" workbookViewId="0">
      <selection activeCell="H16" sqref="H16"/>
    </sheetView>
  </sheetViews>
  <sheetFormatPr defaultRowHeight="15" x14ac:dyDescent="0.25"/>
  <cols>
    <col min="1" max="1" width="5.28515625" customWidth="1"/>
    <col min="2" max="2" width="20.85546875" customWidth="1"/>
    <col min="5" max="5" width="11.28515625" customWidth="1"/>
    <col min="9" max="9" width="18" customWidth="1"/>
    <col min="10" max="10" width="3.85546875" style="74" customWidth="1"/>
    <col min="11" max="11" width="4.7109375" customWidth="1"/>
    <col min="12" max="12" width="18.140625" customWidth="1"/>
    <col min="15" max="15" width="10.5703125" customWidth="1"/>
  </cols>
  <sheetData>
    <row r="1" spans="1:19" ht="15.75" x14ac:dyDescent="0.25">
      <c r="A1" s="131" t="s">
        <v>129</v>
      </c>
      <c r="B1" s="131"/>
      <c r="C1" s="93" t="s">
        <v>143</v>
      </c>
      <c r="K1" s="131" t="s">
        <v>129</v>
      </c>
      <c r="L1" s="131"/>
      <c r="M1" t="s">
        <v>137</v>
      </c>
    </row>
    <row r="2" spans="1:19" x14ac:dyDescent="0.25">
      <c r="B2" t="s">
        <v>132</v>
      </c>
      <c r="L2" t="s">
        <v>132</v>
      </c>
    </row>
    <row r="3" spans="1:19" x14ac:dyDescent="0.25">
      <c r="B3" t="s">
        <v>122</v>
      </c>
      <c r="C3" s="130">
        <v>2</v>
      </c>
      <c r="L3" t="s">
        <v>122</v>
      </c>
      <c r="M3" s="130">
        <v>2</v>
      </c>
    </row>
    <row r="4" spans="1:19" x14ac:dyDescent="0.25">
      <c r="B4" t="s">
        <v>123</v>
      </c>
      <c r="L4" t="s">
        <v>123</v>
      </c>
    </row>
    <row r="5" spans="1:19" x14ac:dyDescent="0.25">
      <c r="B5" t="s">
        <v>124</v>
      </c>
      <c r="C5" s="130">
        <v>10</v>
      </c>
      <c r="L5" t="s">
        <v>124</v>
      </c>
      <c r="M5" s="130">
        <v>10</v>
      </c>
    </row>
    <row r="6" spans="1:19" x14ac:dyDescent="0.25">
      <c r="B6" t="s">
        <v>128</v>
      </c>
      <c r="L6" t="s">
        <v>128</v>
      </c>
    </row>
    <row r="7" spans="1:19" x14ac:dyDescent="0.25">
      <c r="B7" t="s">
        <v>125</v>
      </c>
      <c r="C7" s="130">
        <v>0.03</v>
      </c>
      <c r="L7" t="s">
        <v>125</v>
      </c>
      <c r="M7" s="134">
        <f>SQRT(P7)/P7</f>
        <v>3.2274861218395144E-2</v>
      </c>
      <c r="O7" t="s">
        <v>142</v>
      </c>
      <c r="P7">
        <f>M3*M5*Hrs</f>
        <v>960</v>
      </c>
    </row>
    <row r="8" spans="1:19" x14ac:dyDescent="0.25">
      <c r="B8" t="s">
        <v>126</v>
      </c>
      <c r="C8" s="133">
        <f>(1/(SE*SE))/(CF*CONC)</f>
        <v>55.555555555555557</v>
      </c>
      <c r="D8" t="s">
        <v>127</v>
      </c>
      <c r="L8" t="s">
        <v>126</v>
      </c>
      <c r="M8" s="130">
        <v>48</v>
      </c>
      <c r="N8" t="s">
        <v>127</v>
      </c>
    </row>
    <row r="10" spans="1:19" x14ac:dyDescent="0.25">
      <c r="A10" s="131" t="s">
        <v>131</v>
      </c>
      <c r="K10" s="131" t="s">
        <v>131</v>
      </c>
    </row>
    <row r="11" spans="1:19" x14ac:dyDescent="0.25">
      <c r="A11" s="131"/>
      <c r="B11" t="s">
        <v>133</v>
      </c>
      <c r="K11" s="131"/>
      <c r="L11" t="s">
        <v>133</v>
      </c>
    </row>
    <row r="12" spans="1:19" ht="31.15" customHeight="1" x14ac:dyDescent="0.25">
      <c r="A12" s="131"/>
      <c r="B12" s="132" t="s">
        <v>134</v>
      </c>
      <c r="C12" s="130">
        <v>0.08</v>
      </c>
      <c r="D12" s="152" t="s">
        <v>136</v>
      </c>
      <c r="E12" s="153"/>
      <c r="F12" s="153"/>
      <c r="G12" s="153"/>
      <c r="H12" s="153"/>
      <c r="I12" s="153"/>
      <c r="K12" s="131"/>
      <c r="L12" s="132" t="s">
        <v>134</v>
      </c>
      <c r="M12" s="130">
        <v>0.08</v>
      </c>
      <c r="N12" s="152" t="s">
        <v>136</v>
      </c>
      <c r="O12" s="153"/>
      <c r="P12" s="153"/>
      <c r="Q12" s="153"/>
      <c r="R12" s="153"/>
      <c r="S12" s="153"/>
    </row>
    <row r="14" spans="1:19" x14ac:dyDescent="0.25">
      <c r="A14" s="131" t="s">
        <v>135</v>
      </c>
      <c r="K14" s="131" t="s">
        <v>135</v>
      </c>
    </row>
    <row r="15" spans="1:19" ht="47.45" customHeight="1" x14ac:dyDescent="0.25">
      <c r="C15" s="134">
        <f>SQRT((SE*SE)+(CSE*CSE))</f>
        <v>8.5440037453175313E-2</v>
      </c>
      <c r="D15" s="154" t="s">
        <v>139</v>
      </c>
      <c r="E15" s="154"/>
      <c r="F15" s="154"/>
      <c r="G15" s="154"/>
      <c r="H15" s="154"/>
      <c r="I15" s="154"/>
      <c r="M15" s="134">
        <f>SQRT((M7*M7)+(M12*M12))</f>
        <v>8.6265095297383562E-2</v>
      </c>
      <c r="N15" s="154" t="s">
        <v>139</v>
      </c>
      <c r="O15" s="154"/>
      <c r="P15" s="154"/>
      <c r="Q15" s="154"/>
      <c r="R15" s="154"/>
      <c r="S15" s="154"/>
    </row>
  </sheetData>
  <mergeCells count="4">
    <mergeCell ref="D12:I12"/>
    <mergeCell ref="D15:I15"/>
    <mergeCell ref="N12:S12"/>
    <mergeCell ref="N15:S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2"/>
  <sheetViews>
    <sheetView zoomScale="80" zoomScaleNormal="80" workbookViewId="0">
      <selection activeCell="C22" sqref="C22"/>
    </sheetView>
  </sheetViews>
  <sheetFormatPr defaultRowHeight="15" x14ac:dyDescent="0.25"/>
  <cols>
    <col min="2" max="2" width="9.7109375" customWidth="1"/>
    <col min="3" max="3" width="10.7109375" customWidth="1"/>
    <col min="4" max="4" width="9.28515625" customWidth="1"/>
    <col min="5" max="5" width="10" customWidth="1"/>
    <col min="6" max="6" width="7.140625" bestFit="1" customWidth="1"/>
    <col min="7" max="7" width="8.28515625" customWidth="1"/>
    <col min="8" max="8" width="7.85546875" bestFit="1" customWidth="1"/>
    <col min="9" max="9" width="10.28515625" customWidth="1"/>
    <col min="11" max="11" width="9.140625" customWidth="1"/>
    <col min="14" max="14" width="14.28515625" customWidth="1"/>
    <col min="15" max="15" width="6.85546875" customWidth="1"/>
    <col min="16" max="16" width="10.42578125" customWidth="1"/>
  </cols>
  <sheetData>
    <row r="1" spans="1:27" x14ac:dyDescent="0.25">
      <c r="A1" t="s">
        <v>96</v>
      </c>
    </row>
    <row r="2" spans="1:27" ht="12" customHeight="1" x14ac:dyDescent="0.25">
      <c r="A2" s="110" t="s">
        <v>103</v>
      </c>
      <c r="B2" s="110" t="s">
        <v>109</v>
      </c>
      <c r="C2" s="111" t="s">
        <v>31</v>
      </c>
      <c r="D2" s="111" t="s">
        <v>94</v>
      </c>
      <c r="E2" s="111" t="s">
        <v>104</v>
      </c>
      <c r="F2" s="111" t="s">
        <v>105</v>
      </c>
      <c r="G2" s="110" t="s">
        <v>108</v>
      </c>
      <c r="H2" s="111" t="s">
        <v>98</v>
      </c>
      <c r="I2" s="111" t="s">
        <v>101</v>
      </c>
      <c r="J2" s="118" t="s">
        <v>116</v>
      </c>
    </row>
    <row r="3" spans="1:27" ht="34.9" customHeight="1" x14ac:dyDescent="0.25">
      <c r="A3" t="s">
        <v>68</v>
      </c>
      <c r="B3">
        <f>(C3*E3)/D3</f>
        <v>8.4</v>
      </c>
      <c r="C3" s="119">
        <v>21</v>
      </c>
      <c r="D3" s="119">
        <v>10</v>
      </c>
      <c r="E3" s="119">
        <v>4</v>
      </c>
      <c r="F3" s="119">
        <v>24</v>
      </c>
      <c r="G3">
        <f>F3</f>
        <v>24</v>
      </c>
      <c r="H3">
        <f>C3*E3</f>
        <v>84</v>
      </c>
      <c r="I3" s="105">
        <f>F3/(SQRT(H3/D3))</f>
        <v>8.2807867121082506</v>
      </c>
      <c r="W3" t="s">
        <v>32</v>
      </c>
      <c r="X3" t="s">
        <v>113</v>
      </c>
      <c r="Z3" t="s">
        <v>114</v>
      </c>
    </row>
    <row r="4" spans="1:27" x14ac:dyDescent="0.25">
      <c r="A4" s="4" t="s">
        <v>68</v>
      </c>
      <c r="B4" s="4">
        <f t="shared" ref="B4:B10" si="0">(C4*E4)/D4</f>
        <v>5.6</v>
      </c>
      <c r="C4" s="120">
        <v>21</v>
      </c>
      <c r="D4" s="121">
        <v>15</v>
      </c>
      <c r="E4" s="121">
        <v>4</v>
      </c>
      <c r="F4" s="121">
        <v>48</v>
      </c>
      <c r="G4" s="4">
        <f t="shared" ref="G4:G10" si="1">F4</f>
        <v>48</v>
      </c>
      <c r="H4" s="4">
        <f>C4*E4</f>
        <v>84</v>
      </c>
      <c r="I4" s="108">
        <f>F4/(SQRT(H4/D4))</f>
        <v>20.283702113484399</v>
      </c>
      <c r="K4" s="30" t="s">
        <v>130</v>
      </c>
      <c r="W4">
        <v>25</v>
      </c>
      <c r="X4">
        <v>9.7799999999999994</v>
      </c>
      <c r="Y4" t="s">
        <v>115</v>
      </c>
      <c r="Z4">
        <v>0.25</v>
      </c>
      <c r="AA4" t="s">
        <v>66</v>
      </c>
    </row>
    <row r="5" spans="1:27" x14ac:dyDescent="0.25">
      <c r="B5">
        <f t="shared" si="0"/>
        <v>7.2</v>
      </c>
      <c r="C5" s="121">
        <v>18</v>
      </c>
      <c r="D5" s="121">
        <v>10</v>
      </c>
      <c r="E5" s="121">
        <v>4</v>
      </c>
      <c r="F5" s="121">
        <v>24</v>
      </c>
      <c r="G5">
        <v>24</v>
      </c>
      <c r="H5">
        <f t="shared" ref="H5:H10" si="2">C5*E5</f>
        <v>72</v>
      </c>
      <c r="I5" s="105">
        <f t="shared" ref="I5:I10" si="3">F5/(SQRT(H5/D5))</f>
        <v>8.9442719099991592</v>
      </c>
      <c r="K5" s="122">
        <v>0.7</v>
      </c>
      <c r="L5" t="s">
        <v>32</v>
      </c>
      <c r="X5">
        <f>X4/W4</f>
        <v>0.39119999999999999</v>
      </c>
      <c r="Y5" t="s">
        <v>91</v>
      </c>
      <c r="Z5">
        <f>60*Z4</f>
        <v>15</v>
      </c>
      <c r="AA5" t="s">
        <v>67</v>
      </c>
    </row>
    <row r="6" spans="1:27" x14ac:dyDescent="0.25">
      <c r="B6">
        <f t="shared" si="0"/>
        <v>7.2</v>
      </c>
      <c r="C6" s="121">
        <v>18</v>
      </c>
      <c r="D6" s="121">
        <v>10</v>
      </c>
      <c r="E6" s="121">
        <v>4</v>
      </c>
      <c r="F6" s="121">
        <v>24</v>
      </c>
      <c r="G6">
        <f t="shared" si="1"/>
        <v>24</v>
      </c>
      <c r="H6">
        <f t="shared" si="2"/>
        <v>72</v>
      </c>
      <c r="I6" s="105">
        <f t="shared" si="3"/>
        <v>8.9442719099991592</v>
      </c>
      <c r="K6">
        <f>$K$5*$C$17</f>
        <v>14.7</v>
      </c>
      <c r="L6" t="s">
        <v>67</v>
      </c>
      <c r="X6">
        <f>60*X5</f>
        <v>23.472000000000001</v>
      </c>
      <c r="Y6" t="s">
        <v>92</v>
      </c>
    </row>
    <row r="7" spans="1:27" x14ac:dyDescent="0.25">
      <c r="B7">
        <f t="shared" si="0"/>
        <v>7.2</v>
      </c>
      <c r="C7" s="121">
        <v>18</v>
      </c>
      <c r="D7" s="121">
        <v>10</v>
      </c>
      <c r="E7" s="121">
        <v>4</v>
      </c>
      <c r="F7" s="121">
        <v>24</v>
      </c>
      <c r="G7">
        <f t="shared" si="1"/>
        <v>24</v>
      </c>
      <c r="H7">
        <f t="shared" si="2"/>
        <v>72</v>
      </c>
      <c r="I7" s="105">
        <f t="shared" si="3"/>
        <v>8.9442719099991592</v>
      </c>
    </row>
    <row r="8" spans="1:27" x14ac:dyDescent="0.25">
      <c r="B8">
        <f t="shared" si="0"/>
        <v>7.2</v>
      </c>
      <c r="C8" s="121">
        <v>18</v>
      </c>
      <c r="D8" s="121">
        <v>10</v>
      </c>
      <c r="E8" s="121">
        <v>4</v>
      </c>
      <c r="F8" s="121">
        <v>24</v>
      </c>
      <c r="G8">
        <f t="shared" si="1"/>
        <v>24</v>
      </c>
      <c r="H8">
        <f t="shared" si="2"/>
        <v>72</v>
      </c>
      <c r="I8" s="105">
        <f t="shared" si="3"/>
        <v>8.9442719099991592</v>
      </c>
    </row>
    <row r="9" spans="1:27" x14ac:dyDescent="0.25">
      <c r="B9">
        <f t="shared" si="0"/>
        <v>7.2</v>
      </c>
      <c r="C9" s="121">
        <v>18</v>
      </c>
      <c r="D9" s="121">
        <v>10</v>
      </c>
      <c r="E9" s="121">
        <v>4</v>
      </c>
      <c r="F9" s="121">
        <v>24</v>
      </c>
      <c r="G9">
        <f t="shared" si="1"/>
        <v>24</v>
      </c>
      <c r="H9">
        <f t="shared" si="2"/>
        <v>72</v>
      </c>
      <c r="I9" s="105">
        <f t="shared" si="3"/>
        <v>8.9442719099991592</v>
      </c>
    </row>
    <row r="10" spans="1:27" x14ac:dyDescent="0.25">
      <c r="A10" t="s">
        <v>69</v>
      </c>
      <c r="B10">
        <f t="shared" si="0"/>
        <v>44.4</v>
      </c>
      <c r="C10" s="119">
        <v>111</v>
      </c>
      <c r="D10" s="119">
        <v>10</v>
      </c>
      <c r="E10" s="119">
        <v>4</v>
      </c>
      <c r="F10" s="119">
        <v>24</v>
      </c>
      <c r="G10">
        <f t="shared" si="1"/>
        <v>24</v>
      </c>
      <c r="H10">
        <f t="shared" si="2"/>
        <v>444</v>
      </c>
      <c r="I10" s="105">
        <f t="shared" si="3"/>
        <v>3.6018013511259857</v>
      </c>
    </row>
    <row r="13" spans="1:27" x14ac:dyDescent="0.25">
      <c r="A13" t="s">
        <v>95</v>
      </c>
    </row>
    <row r="14" spans="1:27" x14ac:dyDescent="0.25">
      <c r="A14" t="s">
        <v>102</v>
      </c>
    </row>
    <row r="15" spans="1:27" ht="57" x14ac:dyDescent="0.25">
      <c r="A15" s="110" t="s">
        <v>103</v>
      </c>
      <c r="B15" s="110" t="s">
        <v>100</v>
      </c>
      <c r="C15" s="111" t="s">
        <v>31</v>
      </c>
      <c r="D15" s="110" t="s">
        <v>106</v>
      </c>
      <c r="E15" s="111" t="s">
        <v>97</v>
      </c>
      <c r="F15" s="111" t="s">
        <v>99</v>
      </c>
      <c r="G15" s="110" t="s">
        <v>107</v>
      </c>
      <c r="H15" s="111" t="s">
        <v>98</v>
      </c>
      <c r="I15" s="111" t="s">
        <v>101</v>
      </c>
    </row>
    <row r="16" spans="1:27" x14ac:dyDescent="0.25">
      <c r="A16" s="75" t="s">
        <v>69</v>
      </c>
      <c r="B16" s="116">
        <f>(C16*E16)/D16</f>
        <v>277.5</v>
      </c>
      <c r="C16" s="119">
        <v>111</v>
      </c>
      <c r="D16" s="119">
        <v>10</v>
      </c>
      <c r="E16" s="119">
        <v>25</v>
      </c>
      <c r="F16" s="119">
        <v>48</v>
      </c>
      <c r="G16" s="75"/>
      <c r="H16" s="75">
        <f>C16*E16</f>
        <v>2775</v>
      </c>
      <c r="I16" s="112">
        <f>F16/(SQRT(H16/D16))</f>
        <v>2.881441080900788</v>
      </c>
    </row>
    <row r="17" spans="1:9" x14ac:dyDescent="0.25">
      <c r="A17" s="113" t="s">
        <v>68</v>
      </c>
      <c r="B17" s="117">
        <f>(C17*E17)/D17</f>
        <v>35.714285714285715</v>
      </c>
      <c r="C17" s="120">
        <f>21</f>
        <v>21</v>
      </c>
      <c r="D17" s="114">
        <f>K6</f>
        <v>14.7</v>
      </c>
      <c r="E17" s="121">
        <v>25</v>
      </c>
      <c r="F17" s="121">
        <v>48</v>
      </c>
      <c r="G17" s="113"/>
      <c r="H17" s="113">
        <f>C17*E17</f>
        <v>525</v>
      </c>
      <c r="I17" s="115">
        <f>F17/(SQRT(H17/D17))</f>
        <v>8.0319362547271247</v>
      </c>
    </row>
    <row r="18" spans="1:9" x14ac:dyDescent="0.25">
      <c r="A18" s="113"/>
      <c r="B18" s="117">
        <f>(C18*E18)/D18</f>
        <v>45</v>
      </c>
      <c r="C18" s="121">
        <v>18</v>
      </c>
      <c r="D18" s="121">
        <v>10</v>
      </c>
      <c r="E18" s="121">
        <v>25</v>
      </c>
      <c r="F18" s="121">
        <v>48</v>
      </c>
      <c r="G18" s="113"/>
      <c r="H18" s="113">
        <f>C18*E18</f>
        <v>450</v>
      </c>
      <c r="I18" s="115">
        <f>F18/(SQRT(H18/D18))</f>
        <v>7.1554175279993268</v>
      </c>
    </row>
    <row r="19" spans="1:9" x14ac:dyDescent="0.25">
      <c r="A19" s="113"/>
      <c r="B19" s="117">
        <f>(C19*E19)/D19</f>
        <v>31.944444444444443</v>
      </c>
      <c r="C19" s="121">
        <v>23</v>
      </c>
      <c r="D19" s="121">
        <v>18</v>
      </c>
      <c r="E19" s="121">
        <v>25</v>
      </c>
      <c r="F19" s="121">
        <v>24</v>
      </c>
      <c r="G19" s="113"/>
      <c r="H19" s="113">
        <f>C19*E19</f>
        <v>575</v>
      </c>
      <c r="I19" s="115">
        <f>F19/(SQRT(H19/D19))</f>
        <v>4.2463283372610379</v>
      </c>
    </row>
    <row r="20" spans="1:9" x14ac:dyDescent="0.25">
      <c r="A20" s="113"/>
      <c r="B20" s="117">
        <f t="shared" ref="B20:B22" si="4">(C20*E20)/D20</f>
        <v>16</v>
      </c>
      <c r="C20" s="121">
        <v>16</v>
      </c>
      <c r="D20" s="121">
        <v>25</v>
      </c>
      <c r="E20" s="121">
        <v>25</v>
      </c>
      <c r="F20" s="121">
        <v>24</v>
      </c>
      <c r="G20" s="113"/>
      <c r="H20" s="113">
        <f t="shared" ref="H20:H22" si="5">C20*E20</f>
        <v>400</v>
      </c>
      <c r="I20" s="115">
        <f t="shared" ref="I20:I22" si="6">F20/(SQRT(H20/D20))</f>
        <v>6</v>
      </c>
    </row>
    <row r="21" spans="1:9" x14ac:dyDescent="0.25">
      <c r="A21" s="113"/>
      <c r="B21" s="117">
        <f t="shared" si="4"/>
        <v>25</v>
      </c>
      <c r="C21" s="121">
        <v>10</v>
      </c>
      <c r="D21" s="121">
        <v>10</v>
      </c>
      <c r="E21" s="121">
        <v>25</v>
      </c>
      <c r="F21" s="121">
        <v>24</v>
      </c>
      <c r="G21" s="113"/>
      <c r="H21" s="113">
        <f t="shared" si="5"/>
        <v>250</v>
      </c>
      <c r="I21" s="115">
        <f t="shared" si="6"/>
        <v>4.8</v>
      </c>
    </row>
    <row r="22" spans="1:9" x14ac:dyDescent="0.25">
      <c r="A22" s="113"/>
      <c r="B22" s="117">
        <f t="shared" si="4"/>
        <v>10</v>
      </c>
      <c r="C22" s="121">
        <v>4</v>
      </c>
      <c r="D22" s="121">
        <v>10</v>
      </c>
      <c r="E22" s="121">
        <v>25</v>
      </c>
      <c r="F22" s="121">
        <v>24</v>
      </c>
      <c r="G22" s="113"/>
      <c r="H22" s="113">
        <f t="shared" si="5"/>
        <v>100</v>
      </c>
      <c r="I22" s="115">
        <f t="shared" si="6"/>
        <v>7.5894663844041101</v>
      </c>
    </row>
  </sheetData>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0"/>
  <sheetViews>
    <sheetView tabSelected="1" topLeftCell="A9" zoomScale="90" zoomScaleNormal="90" workbookViewId="0">
      <selection activeCell="H15" sqref="H15"/>
    </sheetView>
  </sheetViews>
  <sheetFormatPr defaultRowHeight="15" x14ac:dyDescent="0.25"/>
  <cols>
    <col min="1" max="1" width="18.5703125" customWidth="1"/>
    <col min="2" max="2" width="10.28515625" customWidth="1"/>
    <col min="3" max="3" width="6" customWidth="1"/>
    <col min="4" max="4" width="10" customWidth="1"/>
    <col min="5" max="5" width="11.28515625" customWidth="1"/>
    <col min="6" max="6" width="11.42578125" customWidth="1"/>
    <col min="7" max="7" width="17.42578125" customWidth="1"/>
    <col min="8" max="8" width="18.85546875" customWidth="1"/>
    <col min="9" max="9" width="21.140625" customWidth="1"/>
    <col min="10" max="10" width="11.7109375" customWidth="1"/>
    <col min="11" max="11" width="14.85546875" customWidth="1"/>
    <col min="12" max="12" width="16.28515625" customWidth="1"/>
    <col min="13" max="13" width="16.42578125" customWidth="1"/>
  </cols>
  <sheetData>
    <row r="1" spans="1:12" ht="20.45" customHeight="1" x14ac:dyDescent="0.25">
      <c r="A1" s="90" t="s">
        <v>121</v>
      </c>
      <c r="B1" s="81"/>
    </row>
    <row r="2" spans="1:12" s="30" customFormat="1" ht="37.15" customHeight="1" x14ac:dyDescent="0.2">
      <c r="B2" s="82" t="s">
        <v>55</v>
      </c>
      <c r="C2" s="30" t="s">
        <v>56</v>
      </c>
      <c r="D2" s="155" t="s">
        <v>51</v>
      </c>
      <c r="E2" s="156"/>
      <c r="F2" s="157"/>
      <c r="G2" s="83" t="s">
        <v>140</v>
      </c>
      <c r="H2" s="84" t="s">
        <v>118</v>
      </c>
      <c r="I2" s="100" t="s">
        <v>57</v>
      </c>
      <c r="J2" s="158" t="s">
        <v>138</v>
      </c>
      <c r="K2" s="159"/>
    </row>
    <row r="3" spans="1:12" s="30" customFormat="1" ht="42.6" customHeight="1" x14ac:dyDescent="0.2">
      <c r="A3" s="30" t="s">
        <v>47</v>
      </c>
      <c r="B3" s="127" t="s">
        <v>31</v>
      </c>
      <c r="C3" s="128" t="s">
        <v>32</v>
      </c>
      <c r="D3" s="135" t="s">
        <v>33</v>
      </c>
      <c r="E3" s="136" t="s">
        <v>34</v>
      </c>
      <c r="F3" s="73" t="s">
        <v>35</v>
      </c>
      <c r="G3" s="77" t="s">
        <v>41</v>
      </c>
      <c r="H3" s="91" t="s">
        <v>117</v>
      </c>
      <c r="I3" s="100" t="s">
        <v>58</v>
      </c>
      <c r="J3" s="92" t="s">
        <v>110</v>
      </c>
      <c r="K3" s="92" t="s">
        <v>111</v>
      </c>
      <c r="L3" s="109" t="s">
        <v>112</v>
      </c>
    </row>
    <row r="4" spans="1:12" x14ac:dyDescent="0.25">
      <c r="A4" t="s">
        <v>50</v>
      </c>
      <c r="B4" s="123">
        <v>2</v>
      </c>
      <c r="C4" s="122">
        <v>10</v>
      </c>
      <c r="D4" s="137">
        <f>B4*C4</f>
        <v>20</v>
      </c>
      <c r="E4" s="138">
        <f t="shared" ref="E4:E11" si="0">D4*24</f>
        <v>480</v>
      </c>
      <c r="F4" s="74">
        <f>D4*48</f>
        <v>960</v>
      </c>
      <c r="G4" s="78">
        <f>SQRT(F4)/F4</f>
        <v>3.2274861218395144E-2</v>
      </c>
      <c r="H4" s="80">
        <v>0.08</v>
      </c>
      <c r="I4" s="101">
        <f>SQRT(H4*H4+G4*G4)</f>
        <v>8.6265095297383562E-2</v>
      </c>
      <c r="J4" s="106">
        <f>C4-((SQRT(H4*H4+G4*G4)+I14)*C4)</f>
        <v>8.8873490470261647</v>
      </c>
      <c r="K4" s="106">
        <f>C4+(SQRT(H4*H4+G4*G4)+I14)*C4</f>
        <v>11.112650952973835</v>
      </c>
      <c r="L4" t="s">
        <v>84</v>
      </c>
    </row>
    <row r="5" spans="1:12" x14ac:dyDescent="0.25">
      <c r="A5" s="97" t="s">
        <v>49</v>
      </c>
      <c r="B5" s="124">
        <v>0.6</v>
      </c>
      <c r="C5" s="125">
        <v>10</v>
      </c>
      <c r="D5" s="139">
        <f>B5*C5</f>
        <v>6</v>
      </c>
      <c r="E5" s="140">
        <f t="shared" si="0"/>
        <v>144</v>
      </c>
      <c r="F5" s="98">
        <f t="shared" ref="F5:F11" si="1">D5*48</f>
        <v>288</v>
      </c>
      <c r="G5" s="99">
        <f t="shared" ref="G5:G11" si="2">SQRT(F5)/F5</f>
        <v>5.8925565098878953E-2</v>
      </c>
      <c r="H5" s="80">
        <v>0.08</v>
      </c>
      <c r="I5" s="102">
        <f>SQRT(H5*H5+G5*G5)</f>
        <v>9.9359057071925869E-2</v>
      </c>
      <c r="J5" s="107">
        <f t="shared" ref="J5:J6" si="3">C5-((SQRT(H5*H5+G5*G5)+J15)*C5)</f>
        <v>9.0064094292807404</v>
      </c>
      <c r="K5" s="107">
        <f t="shared" ref="K5:K11" si="4">C5+(SQRT(H5*H5+G5*G5)+J15)*C5</f>
        <v>10.99359057071926</v>
      </c>
    </row>
    <row r="6" spans="1:12" x14ac:dyDescent="0.25">
      <c r="A6" t="s">
        <v>88</v>
      </c>
      <c r="B6" s="123">
        <v>2.5</v>
      </c>
      <c r="C6" s="122">
        <v>10</v>
      </c>
      <c r="D6" s="137">
        <f>B6*C6</f>
        <v>25</v>
      </c>
      <c r="E6" s="138">
        <f t="shared" si="0"/>
        <v>600</v>
      </c>
      <c r="F6" s="74">
        <f t="shared" si="1"/>
        <v>1200</v>
      </c>
      <c r="G6" s="78">
        <f t="shared" si="2"/>
        <v>2.8867513459481291E-2</v>
      </c>
      <c r="H6" s="80">
        <v>0.08</v>
      </c>
      <c r="I6" s="101">
        <f t="shared" ref="I6:I11" si="5">SQRT(H6*H6+G6*G6)</f>
        <v>8.5049005481153822E-2</v>
      </c>
      <c r="J6" s="106">
        <f t="shared" si="3"/>
        <v>9.1495099451884627</v>
      </c>
      <c r="K6" s="106">
        <f t="shared" si="4"/>
        <v>10.850490054811537</v>
      </c>
    </row>
    <row r="7" spans="1:12" x14ac:dyDescent="0.25">
      <c r="A7" t="s">
        <v>119</v>
      </c>
      <c r="B7" s="123">
        <v>3</v>
      </c>
      <c r="C7" s="122">
        <v>10</v>
      </c>
      <c r="D7" s="137">
        <f t="shared" ref="D7:D11" si="6">B7*C7</f>
        <v>30</v>
      </c>
      <c r="E7" s="138">
        <f t="shared" si="0"/>
        <v>720</v>
      </c>
      <c r="F7" s="74">
        <f t="shared" si="1"/>
        <v>1440</v>
      </c>
      <c r="G7" s="78">
        <f t="shared" si="2"/>
        <v>2.6352313834736494E-2</v>
      </c>
      <c r="H7" s="80">
        <v>0.08</v>
      </c>
      <c r="I7" s="101">
        <f t="shared" si="5"/>
        <v>8.4228525123288517E-2</v>
      </c>
      <c r="J7" s="106">
        <f>C7-((SQRT(H7*H7+G7*G7)+J17)*C7)</f>
        <v>9.1577147487671144</v>
      </c>
      <c r="K7" s="106">
        <f t="shared" si="4"/>
        <v>10.842285251232886</v>
      </c>
    </row>
    <row r="8" spans="1:12" x14ac:dyDescent="0.25">
      <c r="A8" t="s">
        <v>120</v>
      </c>
      <c r="B8" s="123">
        <v>6</v>
      </c>
      <c r="C8" s="122">
        <v>10</v>
      </c>
      <c r="D8" s="137">
        <f t="shared" si="6"/>
        <v>60</v>
      </c>
      <c r="E8" s="138">
        <f t="shared" si="0"/>
        <v>1440</v>
      </c>
      <c r="F8" s="74">
        <f t="shared" si="1"/>
        <v>2880</v>
      </c>
      <c r="G8" s="78">
        <f t="shared" si="2"/>
        <v>1.8633899812498248E-2</v>
      </c>
      <c r="H8" s="80">
        <v>0.08</v>
      </c>
      <c r="I8" s="101">
        <f t="shared" si="5"/>
        <v>8.2141476869010716E-2</v>
      </c>
      <c r="J8" s="106" t="e">
        <f t="shared" ref="J8:J11" si="7">C8-((SQRT(H8*H8+G8*G8)+J18)*C8)</f>
        <v>#VALUE!</v>
      </c>
      <c r="K8" s="106" t="e">
        <f t="shared" si="4"/>
        <v>#VALUE!</v>
      </c>
    </row>
    <row r="9" spans="1:12" x14ac:dyDescent="0.25">
      <c r="A9" t="s">
        <v>71</v>
      </c>
      <c r="B9" s="123">
        <v>15</v>
      </c>
      <c r="C9" s="122">
        <v>10</v>
      </c>
      <c r="D9" s="137">
        <f t="shared" si="6"/>
        <v>150</v>
      </c>
      <c r="E9" s="138">
        <f t="shared" si="0"/>
        <v>3600</v>
      </c>
      <c r="F9" s="74">
        <f t="shared" si="1"/>
        <v>7200</v>
      </c>
      <c r="G9" s="78">
        <f t="shared" si="2"/>
        <v>1.1785113019775792E-2</v>
      </c>
      <c r="H9" s="80">
        <v>0.08</v>
      </c>
      <c r="I9" s="101">
        <f t="shared" si="5"/>
        <v>8.086339647138803E-2</v>
      </c>
      <c r="J9" s="106" t="e">
        <f t="shared" si="7"/>
        <v>#VALUE!</v>
      </c>
      <c r="K9" s="106" t="e">
        <f t="shared" si="4"/>
        <v>#VALUE!</v>
      </c>
    </row>
    <row r="10" spans="1:12" x14ac:dyDescent="0.25">
      <c r="A10" t="s">
        <v>68</v>
      </c>
      <c r="B10" s="123">
        <v>21</v>
      </c>
      <c r="C10" s="122">
        <v>10</v>
      </c>
      <c r="D10" s="137">
        <f t="shared" si="6"/>
        <v>210</v>
      </c>
      <c r="E10" s="138">
        <f t="shared" si="0"/>
        <v>5040</v>
      </c>
      <c r="F10" s="74">
        <f t="shared" si="1"/>
        <v>10080</v>
      </c>
      <c r="G10" s="78">
        <f t="shared" si="2"/>
        <v>9.9602384111199468E-3</v>
      </c>
      <c r="H10" s="80">
        <v>0.08</v>
      </c>
      <c r="I10" s="101">
        <f t="shared" si="5"/>
        <v>8.0617655319454362E-2</v>
      </c>
      <c r="J10" s="106">
        <f t="shared" si="7"/>
        <v>-79.095675300095806</v>
      </c>
      <c r="K10" s="106">
        <f t="shared" si="4"/>
        <v>99.095675300095806</v>
      </c>
    </row>
    <row r="11" spans="1:12" x14ac:dyDescent="0.25">
      <c r="A11" t="s">
        <v>48</v>
      </c>
      <c r="B11" s="126">
        <v>111</v>
      </c>
      <c r="C11" s="122">
        <v>10</v>
      </c>
      <c r="D11" s="141">
        <f t="shared" si="6"/>
        <v>1110</v>
      </c>
      <c r="E11" s="141">
        <f t="shared" si="0"/>
        <v>26640</v>
      </c>
      <c r="F11" s="76">
        <f t="shared" si="1"/>
        <v>53280</v>
      </c>
      <c r="G11" s="79">
        <f t="shared" si="2"/>
        <v>4.3322937075836359E-3</v>
      </c>
      <c r="H11" s="129">
        <v>0.08</v>
      </c>
      <c r="I11" s="103">
        <f t="shared" si="5"/>
        <v>8.0117218928072942E-2</v>
      </c>
      <c r="J11" s="106">
        <f t="shared" si="7"/>
        <v>-79.249356555171758</v>
      </c>
      <c r="K11" s="106">
        <f t="shared" si="4"/>
        <v>99.249356555171758</v>
      </c>
    </row>
    <row r="12" spans="1:12" x14ac:dyDescent="0.25">
      <c r="G12" s="5"/>
      <c r="I12" s="95" t="s">
        <v>83</v>
      </c>
      <c r="J12" s="95"/>
      <c r="K12" s="96"/>
      <c r="L12" s="95"/>
    </row>
    <row r="13" spans="1:12" x14ac:dyDescent="0.25">
      <c r="G13" s="5"/>
    </row>
    <row r="14" spans="1:12" x14ac:dyDescent="0.25">
      <c r="H14" s="30" t="s">
        <v>154</v>
      </c>
      <c r="I14" s="120">
        <v>2.5000000000000001E-2</v>
      </c>
    </row>
    <row r="17" spans="1:12" x14ac:dyDescent="0.25">
      <c r="A17" s="90" t="s">
        <v>121</v>
      </c>
      <c r="B17" s="81"/>
    </row>
    <row r="18" spans="1:12" ht="34.5" x14ac:dyDescent="0.25">
      <c r="A18" s="30"/>
      <c r="B18" s="82" t="s">
        <v>55</v>
      </c>
      <c r="C18" s="30" t="s">
        <v>56</v>
      </c>
      <c r="D18" s="155" t="s">
        <v>51</v>
      </c>
      <c r="E18" s="156"/>
      <c r="F18" s="157"/>
      <c r="G18" s="83" t="s">
        <v>141</v>
      </c>
      <c r="H18" s="84" t="s">
        <v>118</v>
      </c>
      <c r="I18" s="100" t="s">
        <v>57</v>
      </c>
      <c r="J18" s="158" t="s">
        <v>138</v>
      </c>
      <c r="K18" s="159"/>
      <c r="L18" s="30"/>
    </row>
    <row r="19" spans="1:12" ht="57" x14ac:dyDescent="0.25">
      <c r="A19" s="30" t="s">
        <v>47</v>
      </c>
      <c r="B19" s="127" t="s">
        <v>31</v>
      </c>
      <c r="C19" s="128" t="s">
        <v>32</v>
      </c>
      <c r="D19" s="135" t="s">
        <v>33</v>
      </c>
      <c r="E19" s="146" t="s">
        <v>34</v>
      </c>
      <c r="F19" s="142" t="s">
        <v>35</v>
      </c>
      <c r="G19" s="77" t="s">
        <v>41</v>
      </c>
      <c r="H19" s="91" t="s">
        <v>117</v>
      </c>
      <c r="I19" s="100" t="s">
        <v>58</v>
      </c>
      <c r="J19" s="92" t="s">
        <v>110</v>
      </c>
      <c r="K19" s="92" t="s">
        <v>111</v>
      </c>
      <c r="L19" s="109" t="s">
        <v>112</v>
      </c>
    </row>
    <row r="20" spans="1:12" x14ac:dyDescent="0.25">
      <c r="A20" t="s">
        <v>50</v>
      </c>
      <c r="B20" s="123">
        <v>2</v>
      </c>
      <c r="C20" s="122">
        <v>10</v>
      </c>
      <c r="D20" s="137">
        <f>B20*C20</f>
        <v>20</v>
      </c>
      <c r="E20" s="147">
        <f t="shared" ref="E20:E27" si="8">D20*24</f>
        <v>480</v>
      </c>
      <c r="F20" s="143">
        <f>D20*48</f>
        <v>960</v>
      </c>
      <c r="G20" s="78">
        <f>SQRT(E20)/E20</f>
        <v>4.5643546458763846E-2</v>
      </c>
      <c r="H20" s="80">
        <v>0.08</v>
      </c>
      <c r="I20" s="101">
        <f>SQRT(H20*H20+G20*G20)</f>
        <v>9.2105012530987337E-2</v>
      </c>
      <c r="J20" s="106">
        <f>C20-((SQRT(H20*H20+G20*G20)+I30)*C20)</f>
        <v>8.8289498746901263</v>
      </c>
      <c r="K20" s="106">
        <f>C20+(SQRT(H20*H20+G20*G20)+I30)*C20</f>
        <v>11.171050125309874</v>
      </c>
      <c r="L20" t="s">
        <v>84</v>
      </c>
    </row>
    <row r="21" spans="1:12" x14ac:dyDescent="0.25">
      <c r="A21" s="97" t="s">
        <v>49</v>
      </c>
      <c r="B21" s="124">
        <v>0.6</v>
      </c>
      <c r="C21" s="125">
        <v>10</v>
      </c>
      <c r="D21" s="139">
        <f>B21*C21</f>
        <v>6</v>
      </c>
      <c r="E21" s="148">
        <f t="shared" si="8"/>
        <v>144</v>
      </c>
      <c r="F21" s="144">
        <f t="shared" ref="F21:F27" si="9">D21*48</f>
        <v>288</v>
      </c>
      <c r="G21" s="78">
        <f t="shared" ref="G21:G27" si="10">SQRT(E21)/E21</f>
        <v>8.3333333333333329E-2</v>
      </c>
      <c r="H21" s="80">
        <v>0.08</v>
      </c>
      <c r="I21" s="102">
        <f>SQRT(H21*H21+G21*G21)</f>
        <v>0.11551815634108971</v>
      </c>
      <c r="J21" s="107">
        <f t="shared" ref="J21:J27" si="11">C21-((SQRT(H21*H21+G21*G21)+J31)*C21)</f>
        <v>8.8448184365891027</v>
      </c>
      <c r="K21" s="107">
        <f t="shared" ref="K21:K27" si="12">C21+(SQRT(H21*H21+G21*G21)+J31)*C21</f>
        <v>11.155181563410897</v>
      </c>
    </row>
    <row r="22" spans="1:12" x14ac:dyDescent="0.25">
      <c r="A22" t="s">
        <v>88</v>
      </c>
      <c r="B22" s="123">
        <v>2.5</v>
      </c>
      <c r="C22" s="122">
        <v>10</v>
      </c>
      <c r="D22" s="137">
        <f>B22*C22</f>
        <v>25</v>
      </c>
      <c r="E22" s="147">
        <f t="shared" si="8"/>
        <v>600</v>
      </c>
      <c r="F22" s="143">
        <f t="shared" si="9"/>
        <v>1200</v>
      </c>
      <c r="G22" s="78">
        <f t="shared" si="10"/>
        <v>4.0824829046386298E-2</v>
      </c>
      <c r="H22" s="80">
        <v>0.08</v>
      </c>
      <c r="I22" s="101">
        <f t="shared" ref="I22:I27" si="13">SQRT(H22*H22+G22*G22)</f>
        <v>8.9814623902049862E-2</v>
      </c>
      <c r="J22" s="106">
        <f t="shared" si="11"/>
        <v>9.1018537609795018</v>
      </c>
      <c r="K22" s="106">
        <f t="shared" si="12"/>
        <v>10.898146239020498</v>
      </c>
    </row>
    <row r="23" spans="1:12" x14ac:dyDescent="0.25">
      <c r="A23" t="s">
        <v>119</v>
      </c>
      <c r="B23" s="123">
        <v>3</v>
      </c>
      <c r="C23" s="122">
        <v>10</v>
      </c>
      <c r="D23" s="137">
        <f t="shared" ref="D23:D27" si="14">B23*C23</f>
        <v>30</v>
      </c>
      <c r="E23" s="147">
        <f t="shared" si="8"/>
        <v>720</v>
      </c>
      <c r="F23" s="143">
        <f t="shared" si="9"/>
        <v>1440</v>
      </c>
      <c r="G23" s="78">
        <f t="shared" si="10"/>
        <v>3.7267799624996496E-2</v>
      </c>
      <c r="H23" s="80">
        <v>0.08</v>
      </c>
      <c r="I23" s="101">
        <f t="shared" si="13"/>
        <v>8.8254681965824852E-2</v>
      </c>
      <c r="J23" s="106">
        <f t="shared" si="11"/>
        <v>9.1174531803417516</v>
      </c>
      <c r="K23" s="106">
        <f t="shared" si="12"/>
        <v>10.882546819658248</v>
      </c>
    </row>
    <row r="24" spans="1:12" x14ac:dyDescent="0.25">
      <c r="A24" t="s">
        <v>120</v>
      </c>
      <c r="B24" s="123">
        <v>6</v>
      </c>
      <c r="C24" s="122">
        <v>10</v>
      </c>
      <c r="D24" s="137">
        <f t="shared" si="14"/>
        <v>60</v>
      </c>
      <c r="E24" s="147">
        <f t="shared" si="8"/>
        <v>1440</v>
      </c>
      <c r="F24" s="143">
        <f t="shared" si="9"/>
        <v>2880</v>
      </c>
      <c r="G24" s="78">
        <f t="shared" si="10"/>
        <v>2.6352313834736494E-2</v>
      </c>
      <c r="H24" s="80">
        <v>0.08</v>
      </c>
      <c r="I24" s="101">
        <f t="shared" si="13"/>
        <v>8.4228525123288517E-2</v>
      </c>
      <c r="J24" s="106">
        <f t="shared" si="11"/>
        <v>9.1577147487671144</v>
      </c>
      <c r="K24" s="106">
        <f t="shared" si="12"/>
        <v>10.842285251232886</v>
      </c>
    </row>
    <row r="25" spans="1:12" x14ac:dyDescent="0.25">
      <c r="A25" t="s">
        <v>71</v>
      </c>
      <c r="B25" s="123">
        <v>15</v>
      </c>
      <c r="C25" s="122">
        <v>10</v>
      </c>
      <c r="D25" s="137">
        <f t="shared" si="14"/>
        <v>150</v>
      </c>
      <c r="E25" s="147">
        <f t="shared" si="8"/>
        <v>3600</v>
      </c>
      <c r="F25" s="143">
        <f t="shared" si="9"/>
        <v>7200</v>
      </c>
      <c r="G25" s="78">
        <f t="shared" si="10"/>
        <v>1.6666666666666666E-2</v>
      </c>
      <c r="H25" s="80">
        <v>0.08</v>
      </c>
      <c r="I25" s="101">
        <f t="shared" si="13"/>
        <v>8.1717671147541748E-2</v>
      </c>
      <c r="J25" s="106">
        <f t="shared" si="11"/>
        <v>9.1828232885245828</v>
      </c>
      <c r="K25" s="106">
        <f t="shared" si="12"/>
        <v>10.817176711475417</v>
      </c>
    </row>
    <row r="26" spans="1:12" x14ac:dyDescent="0.25">
      <c r="A26" t="s">
        <v>68</v>
      </c>
      <c r="B26" s="123">
        <v>21</v>
      </c>
      <c r="C26" s="122">
        <v>10</v>
      </c>
      <c r="D26" s="137">
        <f t="shared" si="14"/>
        <v>210</v>
      </c>
      <c r="E26" s="147">
        <f t="shared" si="8"/>
        <v>5040</v>
      </c>
      <c r="F26" s="143">
        <f t="shared" si="9"/>
        <v>10080</v>
      </c>
      <c r="G26" s="78">
        <f t="shared" si="10"/>
        <v>1.4085904245475277E-2</v>
      </c>
      <c r="H26" s="80">
        <v>0.08</v>
      </c>
      <c r="I26" s="101">
        <f t="shared" si="13"/>
        <v>8.1230614292966533E-2</v>
      </c>
      <c r="J26" s="106">
        <f t="shared" si="11"/>
        <v>9.1876938570703341</v>
      </c>
      <c r="K26" s="106">
        <f t="shared" si="12"/>
        <v>10.812306142929666</v>
      </c>
    </row>
    <row r="27" spans="1:12" x14ac:dyDescent="0.25">
      <c r="A27" t="s">
        <v>48</v>
      </c>
      <c r="B27" s="126">
        <v>111</v>
      </c>
      <c r="C27" s="122">
        <v>10</v>
      </c>
      <c r="D27" s="141">
        <f t="shared" si="14"/>
        <v>1110</v>
      </c>
      <c r="E27" s="149">
        <f t="shared" si="8"/>
        <v>26640</v>
      </c>
      <c r="F27" s="145">
        <f t="shared" si="9"/>
        <v>53280</v>
      </c>
      <c r="G27" s="78">
        <f t="shared" si="10"/>
        <v>6.1267885174483977E-3</v>
      </c>
      <c r="H27" s="129">
        <v>0.08</v>
      </c>
      <c r="I27" s="103">
        <f t="shared" si="13"/>
        <v>8.0234266604347654E-2</v>
      </c>
      <c r="J27" s="106">
        <f t="shared" si="11"/>
        <v>9.1976573339565242</v>
      </c>
      <c r="K27" s="106">
        <f t="shared" si="12"/>
        <v>10.802342666043476</v>
      </c>
    </row>
    <row r="28" spans="1:12" x14ac:dyDescent="0.25">
      <c r="G28" s="5"/>
      <c r="I28" s="95" t="s">
        <v>83</v>
      </c>
      <c r="J28" s="95"/>
      <c r="K28" s="96"/>
      <c r="L28" s="95"/>
    </row>
    <row r="29" spans="1:12" x14ac:dyDescent="0.25">
      <c r="G29" s="5"/>
    </row>
    <row r="30" spans="1:12" x14ac:dyDescent="0.25">
      <c r="H30" s="30" t="s">
        <v>154</v>
      </c>
      <c r="I30" s="120">
        <v>2.5000000000000001E-2</v>
      </c>
    </row>
  </sheetData>
  <mergeCells count="4">
    <mergeCell ref="D2:F2"/>
    <mergeCell ref="J2:K2"/>
    <mergeCell ref="D18:F18"/>
    <mergeCell ref="J18:K18"/>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2"/>
  <sheetViews>
    <sheetView zoomScale="60" zoomScaleNormal="60" workbookViewId="0">
      <selection activeCell="O13" sqref="O13"/>
    </sheetView>
  </sheetViews>
  <sheetFormatPr defaultRowHeight="15" x14ac:dyDescent="0.25"/>
  <cols>
    <col min="1" max="1" width="67.28515625" customWidth="1"/>
    <col min="2" max="2" width="37.85546875" bestFit="1" customWidth="1"/>
    <col min="3" max="3" width="15.28515625" customWidth="1"/>
    <col min="4" max="4" width="6.7109375" customWidth="1"/>
    <col min="5" max="5" width="17.5703125" customWidth="1"/>
    <col min="6" max="6" width="12.7109375" customWidth="1"/>
    <col min="7" max="8" width="12.28515625" customWidth="1"/>
    <col min="9" max="9" width="10.85546875" customWidth="1"/>
    <col min="10" max="10" width="11.7109375" customWidth="1"/>
  </cols>
  <sheetData>
    <row r="1" spans="1:11" ht="27" customHeight="1" x14ac:dyDescent="0.25">
      <c r="A1" s="161" t="s">
        <v>54</v>
      </c>
      <c r="B1" s="162"/>
      <c r="C1" s="162"/>
      <c r="D1" s="162"/>
      <c r="E1" s="162"/>
      <c r="F1" s="162"/>
      <c r="G1" s="29"/>
      <c r="H1" s="29"/>
      <c r="I1" s="29"/>
      <c r="J1" s="29"/>
    </row>
    <row r="2" spans="1:11" x14ac:dyDescent="0.25">
      <c r="A2" s="62" t="s">
        <v>53</v>
      </c>
      <c r="B2" s="31"/>
      <c r="C2" s="31"/>
      <c r="D2" s="31"/>
      <c r="E2" s="31"/>
      <c r="F2" s="31"/>
      <c r="G2" s="31"/>
      <c r="H2" s="31"/>
      <c r="I2" s="31"/>
      <c r="J2" s="31"/>
    </row>
    <row r="3" spans="1:11" ht="72" customHeight="1" x14ac:dyDescent="0.25">
      <c r="A3" s="28" t="s">
        <v>59</v>
      </c>
      <c r="B3" s="85" t="s">
        <v>0</v>
      </c>
      <c r="C3" s="85" t="s">
        <v>1</v>
      </c>
      <c r="D3" s="86" t="s">
        <v>2</v>
      </c>
      <c r="E3" s="2" t="s">
        <v>36</v>
      </c>
      <c r="F3" s="1" t="s">
        <v>3</v>
      </c>
      <c r="G3" s="1" t="s">
        <v>4</v>
      </c>
      <c r="H3" s="1" t="s">
        <v>5</v>
      </c>
      <c r="I3" s="1" t="s">
        <v>6</v>
      </c>
      <c r="J3" s="1" t="s">
        <v>7</v>
      </c>
    </row>
    <row r="4" spans="1:11" x14ac:dyDescent="0.25">
      <c r="A4" s="7" t="s">
        <v>29</v>
      </c>
      <c r="B4" s="8" t="s">
        <v>30</v>
      </c>
      <c r="C4" s="9">
        <f>0.0038/3</f>
        <v>1.2666666666666666E-3</v>
      </c>
      <c r="D4" s="10" t="s">
        <v>8</v>
      </c>
      <c r="E4" s="9"/>
      <c r="F4" s="9">
        <f t="shared" ref="F4:F9" si="0">C4*C4</f>
        <v>1.6044444444444442E-6</v>
      </c>
      <c r="G4" s="9"/>
      <c r="H4" s="9"/>
      <c r="I4" s="9"/>
      <c r="J4" s="11">
        <v>1.1999999999999999E-3</v>
      </c>
    </row>
    <row r="5" spans="1:11" x14ac:dyDescent="0.25">
      <c r="A5" s="12" t="s">
        <v>9</v>
      </c>
      <c r="B5" s="13" t="s">
        <v>10</v>
      </c>
      <c r="C5" s="14">
        <f>0.1/3000</f>
        <v>3.3333333333333335E-5</v>
      </c>
      <c r="D5" s="15" t="s">
        <v>8</v>
      </c>
      <c r="E5" s="14"/>
      <c r="F5" s="14">
        <f t="shared" si="0"/>
        <v>1.1111111111111113E-9</v>
      </c>
      <c r="G5" s="14"/>
      <c r="H5" s="14"/>
      <c r="I5" s="14"/>
      <c r="J5" s="16">
        <f>0.3/3000</f>
        <v>9.9999999999999991E-5</v>
      </c>
    </row>
    <row r="6" spans="1:11" x14ac:dyDescent="0.25">
      <c r="A6" s="17"/>
      <c r="B6" s="13" t="s">
        <v>11</v>
      </c>
      <c r="C6" s="14">
        <v>5.0000000000000002E-5</v>
      </c>
      <c r="D6" s="15" t="s">
        <v>8</v>
      </c>
      <c r="E6" s="14"/>
      <c r="F6" s="14">
        <f t="shared" si="0"/>
        <v>2.5000000000000001E-9</v>
      </c>
      <c r="G6" s="14"/>
      <c r="H6" s="14"/>
      <c r="I6" s="14"/>
      <c r="J6" s="16" t="s">
        <v>12</v>
      </c>
    </row>
    <row r="7" spans="1:11" x14ac:dyDescent="0.25">
      <c r="A7" s="17"/>
      <c r="B7" s="14" t="s">
        <v>13</v>
      </c>
      <c r="C7" s="14">
        <v>6.0000000000000002E-5</v>
      </c>
      <c r="D7" s="15" t="s">
        <v>8</v>
      </c>
      <c r="E7" s="14"/>
      <c r="F7" s="14">
        <f t="shared" si="0"/>
        <v>3.6E-9</v>
      </c>
      <c r="G7" s="14"/>
      <c r="H7" s="14"/>
      <c r="I7" s="14"/>
      <c r="J7" s="16">
        <f>C7</f>
        <v>6.0000000000000002E-5</v>
      </c>
    </row>
    <row r="8" spans="1:11" x14ac:dyDescent="0.25">
      <c r="A8" s="17"/>
      <c r="B8" s="14" t="s">
        <v>14</v>
      </c>
      <c r="C8" s="14">
        <v>4.9603174603174603E-5</v>
      </c>
      <c r="D8" s="15" t="s">
        <v>8</v>
      </c>
      <c r="E8" s="14"/>
      <c r="F8" s="14">
        <f t="shared" si="0"/>
        <v>2.4604749307130261E-9</v>
      </c>
      <c r="G8" s="14"/>
      <c r="H8" s="14"/>
      <c r="I8" s="14"/>
      <c r="J8" s="16" t="s">
        <v>12</v>
      </c>
    </row>
    <row r="9" spans="1:11" ht="30" x14ac:dyDescent="0.25">
      <c r="A9" s="17"/>
      <c r="B9" s="13" t="s">
        <v>15</v>
      </c>
      <c r="C9" s="14">
        <v>3.9473684210526316E-5</v>
      </c>
      <c r="D9" s="15" t="s">
        <v>8</v>
      </c>
      <c r="E9" s="14"/>
      <c r="F9" s="14">
        <f t="shared" si="0"/>
        <v>1.5581717451523547E-9</v>
      </c>
      <c r="G9" s="18"/>
      <c r="H9" s="19"/>
      <c r="I9" s="14"/>
      <c r="J9" s="16">
        <v>3.9473684210526316E-5</v>
      </c>
    </row>
    <row r="10" spans="1:11" ht="90" x14ac:dyDescent="0.25">
      <c r="A10" s="88" t="s">
        <v>60</v>
      </c>
      <c r="B10" s="87" t="s">
        <v>61</v>
      </c>
      <c r="C10" s="14">
        <v>9.348722446528613E-3</v>
      </c>
      <c r="D10" s="15"/>
      <c r="E10" s="14"/>
      <c r="F10" s="14">
        <f>C10*C10</f>
        <v>8.7398611382227931E-5</v>
      </c>
      <c r="G10" s="14"/>
      <c r="H10" s="14"/>
      <c r="I10" s="14"/>
      <c r="J10" s="20" t="s">
        <v>16</v>
      </c>
    </row>
    <row r="11" spans="1:11" ht="60.75" thickBot="1" x14ac:dyDescent="0.3">
      <c r="A11" s="21" t="s">
        <v>62</v>
      </c>
      <c r="B11" s="22" t="s">
        <v>17</v>
      </c>
      <c r="C11" s="60"/>
      <c r="D11" s="24">
        <v>1</v>
      </c>
      <c r="E11" s="23"/>
      <c r="F11" s="23"/>
      <c r="G11" s="25">
        <v>8.9014285584459345E-5</v>
      </c>
      <c r="H11" s="25">
        <v>9.4347382361387924E-3</v>
      </c>
      <c r="I11" s="26">
        <v>1.0834211920349319E-2</v>
      </c>
      <c r="J11" s="27"/>
    </row>
    <row r="12" spans="1:11" ht="73.150000000000006" customHeight="1" thickBot="1" x14ac:dyDescent="0.3">
      <c r="A12" s="32" t="s">
        <v>63</v>
      </c>
      <c r="B12" s="58"/>
      <c r="C12" s="61">
        <f>I11</f>
        <v>1.0834211920349319E-2</v>
      </c>
      <c r="D12" s="59">
        <v>3</v>
      </c>
      <c r="E12" s="33">
        <f>C12/SQRT(D12)</f>
        <v>6.255135168671132E-3</v>
      </c>
      <c r="F12" s="72">
        <f>E12*E12</f>
        <v>3.9126715978346433E-5</v>
      </c>
      <c r="G12" s="35"/>
      <c r="H12" s="35"/>
      <c r="I12" s="36"/>
      <c r="J12" s="37"/>
    </row>
    <row r="13" spans="1:11" ht="46.9" customHeight="1" x14ac:dyDescent="0.25">
      <c r="A13" s="66" t="s">
        <v>52</v>
      </c>
      <c r="B13" s="67"/>
      <c r="C13" s="46">
        <v>3.5000000000000003E-2</v>
      </c>
      <c r="D13" s="68">
        <v>3</v>
      </c>
      <c r="E13" s="33">
        <f>C13/SQRT(D13)</f>
        <v>2.0207259421636904E-2</v>
      </c>
      <c r="F13" s="34">
        <f>E13*E13</f>
        <v>4.0833333333333341E-4</v>
      </c>
      <c r="G13" s="69"/>
      <c r="H13" s="69"/>
      <c r="I13" s="70"/>
      <c r="J13" s="71"/>
    </row>
    <row r="14" spans="1:11" ht="144" customHeight="1" x14ac:dyDescent="0.25">
      <c r="A14" s="38" t="s">
        <v>64</v>
      </c>
      <c r="B14" s="39"/>
      <c r="C14" s="63">
        <v>3.5000000000000003E-2</v>
      </c>
      <c r="D14" s="40">
        <v>3</v>
      </c>
      <c r="E14" s="41">
        <f>C14/SQRT(D14)</f>
        <v>2.0207259421636904E-2</v>
      </c>
      <c r="F14" s="42">
        <f>E14*E14</f>
        <v>4.0833333333333341E-4</v>
      </c>
      <c r="G14" s="43"/>
      <c r="H14" s="43"/>
      <c r="I14" s="43"/>
      <c r="J14" s="44"/>
      <c r="K14" s="89"/>
    </row>
    <row r="15" spans="1:11" ht="57.6" customHeight="1" x14ac:dyDescent="0.25">
      <c r="A15" s="45" t="s">
        <v>65</v>
      </c>
      <c r="B15" s="39"/>
      <c r="C15" s="46">
        <v>0.03</v>
      </c>
      <c r="D15" s="40">
        <v>1</v>
      </c>
      <c r="E15" s="43"/>
      <c r="F15" s="42">
        <f>C15*C15</f>
        <v>8.9999999999999998E-4</v>
      </c>
      <c r="G15" s="43"/>
      <c r="H15" s="43"/>
      <c r="I15" s="43"/>
      <c r="J15" s="44"/>
    </row>
    <row r="16" spans="1:11" x14ac:dyDescent="0.25">
      <c r="A16" s="45" t="s">
        <v>18</v>
      </c>
      <c r="B16" s="43"/>
      <c r="C16" s="46">
        <f>C15</f>
        <v>0.03</v>
      </c>
      <c r="D16" s="40">
        <v>1</v>
      </c>
      <c r="E16" s="43"/>
      <c r="F16" s="42">
        <f>C16*C16</f>
        <v>8.9999999999999998E-4</v>
      </c>
      <c r="G16" s="43"/>
      <c r="H16" s="43"/>
      <c r="I16" s="43"/>
      <c r="J16" s="44"/>
    </row>
    <row r="17" spans="1:10" x14ac:dyDescent="0.25">
      <c r="A17" s="65" t="s">
        <v>19</v>
      </c>
      <c r="B17" s="43"/>
      <c r="C17" s="64">
        <v>0.02</v>
      </c>
      <c r="D17" s="40">
        <v>2</v>
      </c>
      <c r="E17" s="41">
        <f>C17/SQRT(D17)</f>
        <v>1.4142135623730949E-2</v>
      </c>
      <c r="F17" s="42">
        <f>E17*E17</f>
        <v>1.9999999999999996E-4</v>
      </c>
      <c r="G17" s="43"/>
      <c r="H17" s="43"/>
      <c r="I17" s="43"/>
      <c r="J17" s="44"/>
    </row>
    <row r="18" spans="1:10" x14ac:dyDescent="0.25">
      <c r="A18" s="47" t="s">
        <v>20</v>
      </c>
      <c r="B18" s="43"/>
      <c r="C18" s="48"/>
      <c r="D18" s="40"/>
      <c r="E18" s="43"/>
      <c r="F18" s="42"/>
      <c r="G18" s="42">
        <f>SUM(F12:F17)</f>
        <v>2.855793382645013E-3</v>
      </c>
      <c r="H18" s="42">
        <f>SQRT(G18)</f>
        <v>5.3439623713542495E-2</v>
      </c>
      <c r="I18" s="42">
        <f>H18</f>
        <v>5.3439623713542495E-2</v>
      </c>
      <c r="J18" s="44"/>
    </row>
    <row r="19" spans="1:10" x14ac:dyDescent="0.25">
      <c r="A19" s="49" t="s">
        <v>37</v>
      </c>
      <c r="B19" s="43"/>
      <c r="C19" s="46">
        <v>7.0000000000000001E-3</v>
      </c>
      <c r="D19" s="40"/>
      <c r="E19" s="43"/>
      <c r="F19" s="42">
        <f>C19*C19</f>
        <v>4.9000000000000005E-5</v>
      </c>
      <c r="G19" s="42"/>
      <c r="H19" s="50"/>
      <c r="I19" s="43"/>
      <c r="J19" s="44"/>
    </row>
    <row r="20" spans="1:10" x14ac:dyDescent="0.25">
      <c r="A20" s="49" t="s">
        <v>38</v>
      </c>
      <c r="B20" s="43"/>
      <c r="C20" s="46">
        <f>C19</f>
        <v>7.0000000000000001E-3</v>
      </c>
      <c r="D20" s="40"/>
      <c r="E20" s="43"/>
      <c r="F20" s="42">
        <f>C20*C20</f>
        <v>4.9000000000000005E-5</v>
      </c>
      <c r="G20" s="42"/>
      <c r="H20" s="50"/>
      <c r="I20" s="43"/>
      <c r="J20" s="44"/>
    </row>
    <row r="21" spans="1:10" x14ac:dyDescent="0.25">
      <c r="A21" s="65" t="s">
        <v>39</v>
      </c>
      <c r="B21" s="43"/>
      <c r="C21" s="43">
        <v>3.5000000000000003E-2</v>
      </c>
      <c r="D21" s="40">
        <v>2</v>
      </c>
      <c r="E21" s="41">
        <f>C21/SQRT(D21)</f>
        <v>2.4748737341529162E-2</v>
      </c>
      <c r="F21" s="42">
        <f>E21*E21</f>
        <v>6.1249999999999998E-4</v>
      </c>
      <c r="G21" s="42"/>
      <c r="H21" s="43"/>
      <c r="I21" s="50"/>
      <c r="J21" s="44"/>
    </row>
    <row r="22" spans="1:10" ht="15.75" thickBot="1" x14ac:dyDescent="0.3">
      <c r="A22" s="51"/>
      <c r="B22" s="52"/>
      <c r="C22" s="53"/>
      <c r="D22" s="54"/>
      <c r="E22" s="52"/>
      <c r="F22" s="52"/>
      <c r="G22" s="55">
        <f>SUM(G18,F19:F21)</f>
        <v>3.5662933826450128E-3</v>
      </c>
      <c r="H22" s="52">
        <f>SQRT(G22)</f>
        <v>5.9718450939764106E-2</v>
      </c>
      <c r="I22" s="56">
        <f>H22</f>
        <v>5.9718450939764106E-2</v>
      </c>
      <c r="J22" s="57" t="s">
        <v>40</v>
      </c>
    </row>
    <row r="23" spans="1:10" x14ac:dyDescent="0.25">
      <c r="D23" s="3"/>
      <c r="E23" s="3"/>
    </row>
    <row r="32" spans="1:10" x14ac:dyDescent="0.25">
      <c r="D32" s="3"/>
      <c r="E32" s="3"/>
    </row>
    <row r="33" spans="1:6" x14ac:dyDescent="0.25">
      <c r="D33" s="3"/>
      <c r="E33" s="3"/>
    </row>
    <row r="34" spans="1:6" x14ac:dyDescent="0.25">
      <c r="D34" s="3"/>
      <c r="E34" s="3"/>
    </row>
    <row r="35" spans="1:6" x14ac:dyDescent="0.25">
      <c r="A35" t="s">
        <v>21</v>
      </c>
      <c r="D35" s="3"/>
      <c r="E35" s="3"/>
    </row>
    <row r="36" spans="1:6" ht="70.150000000000006" customHeight="1" x14ac:dyDescent="0.25">
      <c r="A36" s="160" t="s">
        <v>22</v>
      </c>
      <c r="B36" s="160"/>
      <c r="C36" s="160"/>
      <c r="D36" s="160"/>
      <c r="E36" s="160"/>
      <c r="F36" s="160"/>
    </row>
    <row r="37" spans="1:6" ht="19.149999999999999" customHeight="1" x14ac:dyDescent="0.25">
      <c r="A37" t="s">
        <v>23</v>
      </c>
      <c r="D37" s="3"/>
      <c r="E37" s="3"/>
    </row>
    <row r="38" spans="1:6" x14ac:dyDescent="0.25">
      <c r="A38" t="s">
        <v>24</v>
      </c>
      <c r="D38" s="3"/>
      <c r="E38" s="3"/>
    </row>
    <row r="39" spans="1:6" x14ac:dyDescent="0.25">
      <c r="A39" t="s">
        <v>25</v>
      </c>
      <c r="D39" s="3"/>
      <c r="E39" s="3"/>
    </row>
    <row r="40" spans="1:6" x14ac:dyDescent="0.25">
      <c r="A40" t="s">
        <v>26</v>
      </c>
      <c r="D40" s="3"/>
      <c r="E40" s="3"/>
    </row>
    <row r="41" spans="1:6" x14ac:dyDescent="0.25">
      <c r="A41" t="s">
        <v>27</v>
      </c>
      <c r="D41" s="3"/>
      <c r="E41" s="3"/>
    </row>
    <row r="42" spans="1:6" x14ac:dyDescent="0.25">
      <c r="A42" t="s">
        <v>28</v>
      </c>
      <c r="D42" s="3"/>
      <c r="E42" s="3"/>
    </row>
  </sheetData>
  <mergeCells count="2">
    <mergeCell ref="A36:F36"/>
    <mergeCell ref="A1:F1"/>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8"/>
  <sheetViews>
    <sheetView workbookViewId="0">
      <selection activeCell="I27" sqref="I27"/>
    </sheetView>
  </sheetViews>
  <sheetFormatPr defaultRowHeight="15" x14ac:dyDescent="0.25"/>
  <cols>
    <col min="3" max="3" width="24.42578125" bestFit="1" customWidth="1"/>
  </cols>
  <sheetData>
    <row r="1" spans="2:15" x14ac:dyDescent="0.25">
      <c r="D1" s="150"/>
      <c r="E1" s="150" t="s">
        <v>146</v>
      </c>
      <c r="N1" s="150">
        <v>0.36</v>
      </c>
      <c r="O1" s="150">
        <v>0.67</v>
      </c>
    </row>
    <row r="2" spans="2:15" x14ac:dyDescent="0.25">
      <c r="B2" t="s">
        <v>147</v>
      </c>
      <c r="D2" s="150"/>
      <c r="E2" t="s">
        <v>148</v>
      </c>
      <c r="H2" t="s">
        <v>149</v>
      </c>
    </row>
    <row r="3" spans="2:15" x14ac:dyDescent="0.25">
      <c r="B3" t="s">
        <v>150</v>
      </c>
      <c r="C3" t="s">
        <v>151</v>
      </c>
      <c r="D3" s="150" t="s">
        <v>152</v>
      </c>
      <c r="E3" s="150" t="s">
        <v>145</v>
      </c>
      <c r="G3" t="s">
        <v>153</v>
      </c>
      <c r="H3" t="s">
        <v>150</v>
      </c>
      <c r="I3" t="s">
        <v>151</v>
      </c>
      <c r="J3" s="150" t="s">
        <v>144</v>
      </c>
      <c r="K3" s="150" t="s">
        <v>145</v>
      </c>
      <c r="L3" t="s">
        <v>148</v>
      </c>
      <c r="M3" t="s">
        <v>153</v>
      </c>
    </row>
    <row r="4" spans="2:15" x14ac:dyDescent="0.25">
      <c r="B4">
        <v>2</v>
      </c>
      <c r="C4">
        <v>1.2</v>
      </c>
      <c r="D4" s="150">
        <f>(B4-C4)/C4</f>
        <v>0.66666666666666674</v>
      </c>
      <c r="E4" s="150">
        <f>STDEV(B4:C4)/C4</f>
        <v>0.47140452079103057</v>
      </c>
      <c r="F4" s="151">
        <f>(D4/E4)/100</f>
        <v>1.4142135623730985E-2</v>
      </c>
      <c r="G4">
        <f>E4/1.96</f>
        <v>0.24051251060766865</v>
      </c>
      <c r="H4">
        <v>2</v>
      </c>
      <c r="I4">
        <v>1</v>
      </c>
      <c r="J4" s="150">
        <f>(H4-I4)/AVERAGE(H4:I4)</f>
        <v>0.66666666666666663</v>
      </c>
      <c r="K4" s="150">
        <f>STDEV(H4:I4)/AVERAGE(H4:I4)</f>
        <v>0.47140452079103173</v>
      </c>
      <c r="L4" s="151">
        <f>(J4/K4)/100</f>
        <v>1.4142135623730949E-2</v>
      </c>
      <c r="M4">
        <f>K4/1.96</f>
        <v>0.24051251060766926</v>
      </c>
    </row>
    <row r="5" spans="2:15" x14ac:dyDescent="0.25">
      <c r="B5">
        <v>3.5</v>
      </c>
      <c r="C5">
        <v>2.1</v>
      </c>
      <c r="D5" s="150">
        <f t="shared" ref="D5:D16" si="0">(B5-C5)/C5</f>
        <v>0.66666666666666663</v>
      </c>
      <c r="E5" s="150">
        <f t="shared" ref="E5:E16" si="1">STDEV(B5:C5)/C5</f>
        <v>0.47140452079103223</v>
      </c>
      <c r="F5" s="151">
        <f t="shared" ref="F5:F16" si="2">(D5/E5)/100</f>
        <v>1.4142135623730933E-2</v>
      </c>
      <c r="G5">
        <f t="shared" ref="G5:G16" si="3">E5/1.96</f>
        <v>0.24051251060766951</v>
      </c>
      <c r="H5">
        <v>3.5</v>
      </c>
      <c r="I5">
        <v>1.7</v>
      </c>
      <c r="J5" s="150">
        <f t="shared" ref="J5:J14" si="4">(H5-I5)/AVERAGE(H5:I5)</f>
        <v>0.69230769230769229</v>
      </c>
      <c r="K5" s="150">
        <f t="shared" ref="K5:K14" si="5">STDEV(H5:I5)/AVERAGE(H5:I5)</f>
        <v>0.48953546389837893</v>
      </c>
      <c r="L5" s="151">
        <f t="shared" ref="L5:L14" si="6">(J5/K5)/100</f>
        <v>1.4142135623730954E-2</v>
      </c>
      <c r="M5">
        <f t="shared" ref="M5:M14" si="7">K5/1.96</f>
        <v>0.2497629917848872</v>
      </c>
    </row>
    <row r="6" spans="2:15" x14ac:dyDescent="0.25">
      <c r="B6">
        <v>3.7</v>
      </c>
      <c r="C6">
        <v>2.2000000000000002</v>
      </c>
      <c r="D6" s="150">
        <f t="shared" si="0"/>
        <v>0.68181818181818177</v>
      </c>
      <c r="E6" s="150">
        <f t="shared" si="1"/>
        <v>0.48211825989991869</v>
      </c>
      <c r="F6" s="151">
        <f t="shared" si="2"/>
        <v>1.4142135623730951E-2</v>
      </c>
      <c r="G6">
        <f t="shared" si="3"/>
        <v>0.24597870403057076</v>
      </c>
      <c r="H6">
        <v>3.7</v>
      </c>
      <c r="I6">
        <v>1.8</v>
      </c>
      <c r="J6" s="150">
        <f t="shared" si="4"/>
        <v>0.69090909090909092</v>
      </c>
      <c r="K6" s="150">
        <f t="shared" si="5"/>
        <v>0.48854650336525096</v>
      </c>
      <c r="L6" s="151">
        <f t="shared" si="6"/>
        <v>1.4142135623730951E-2</v>
      </c>
      <c r="M6">
        <f t="shared" si="7"/>
        <v>0.24925842008431173</v>
      </c>
    </row>
    <row r="7" spans="2:15" x14ac:dyDescent="0.25">
      <c r="B7">
        <v>6</v>
      </c>
      <c r="C7">
        <v>4.4000000000000004</v>
      </c>
      <c r="D7" s="150">
        <f t="shared" si="0"/>
        <v>0.36363636363636354</v>
      </c>
      <c r="E7" s="150">
        <f t="shared" si="1"/>
        <v>0.25712973861328936</v>
      </c>
      <c r="F7" s="151">
        <f t="shared" si="2"/>
        <v>1.4142135623730982E-2</v>
      </c>
      <c r="G7">
        <f t="shared" si="3"/>
        <v>0.13118864214963744</v>
      </c>
      <c r="H7">
        <v>6</v>
      </c>
      <c r="I7">
        <v>4.2</v>
      </c>
      <c r="J7" s="150">
        <f t="shared" si="4"/>
        <v>0.3529411764705882</v>
      </c>
      <c r="K7" s="150">
        <f t="shared" si="5"/>
        <v>0.24956709924231124</v>
      </c>
      <c r="L7" s="151">
        <f t="shared" si="6"/>
        <v>1.414213562373093E-2</v>
      </c>
      <c r="M7">
        <f t="shared" si="7"/>
        <v>0.12733015267464859</v>
      </c>
    </row>
    <row r="8" spans="2:15" x14ac:dyDescent="0.25">
      <c r="B8">
        <v>8</v>
      </c>
      <c r="C8">
        <v>5.9</v>
      </c>
      <c r="D8" s="150">
        <f t="shared" si="0"/>
        <v>0.35593220338983045</v>
      </c>
      <c r="E8" s="150">
        <f t="shared" si="1"/>
        <v>0.2516820746596185</v>
      </c>
      <c r="F8" s="151">
        <f t="shared" si="2"/>
        <v>1.4142135623730954E-2</v>
      </c>
      <c r="G8">
        <f t="shared" si="3"/>
        <v>0.12840922176511149</v>
      </c>
      <c r="H8">
        <v>8</v>
      </c>
      <c r="I8">
        <v>5.6</v>
      </c>
      <c r="J8" s="150">
        <f t="shared" si="4"/>
        <v>0.35294117647058831</v>
      </c>
      <c r="K8" s="150">
        <f t="shared" si="5"/>
        <v>0.24956709924231132</v>
      </c>
      <c r="L8" s="151">
        <f t="shared" si="6"/>
        <v>1.414213562373093E-2</v>
      </c>
      <c r="M8">
        <f t="shared" si="7"/>
        <v>0.12733015267464864</v>
      </c>
    </row>
    <row r="9" spans="2:15" x14ac:dyDescent="0.25">
      <c r="B9">
        <v>12</v>
      </c>
      <c r="C9">
        <v>8.8000000000000007</v>
      </c>
      <c r="D9" s="150">
        <f t="shared" si="0"/>
        <v>0.36363636363636354</v>
      </c>
      <c r="E9" s="150">
        <f t="shared" si="1"/>
        <v>0.25712973861328936</v>
      </c>
      <c r="F9" s="151">
        <f t="shared" si="2"/>
        <v>1.4142135623730982E-2</v>
      </c>
      <c r="G9">
        <f t="shared" si="3"/>
        <v>0.13118864214963744</v>
      </c>
      <c r="H9">
        <v>12</v>
      </c>
      <c r="I9">
        <v>8.3000000000000007</v>
      </c>
      <c r="J9" s="150">
        <f t="shared" si="4"/>
        <v>0.36453201970443344</v>
      </c>
      <c r="K9" s="150">
        <f t="shared" si="5"/>
        <v>0.25776306309263303</v>
      </c>
      <c r="L9" s="151">
        <f t="shared" si="6"/>
        <v>1.4142135623730951E-2</v>
      </c>
      <c r="M9">
        <f t="shared" si="7"/>
        <v>0.13151176688399643</v>
      </c>
    </row>
    <row r="10" spans="2:15" x14ac:dyDescent="0.25">
      <c r="B10">
        <v>10</v>
      </c>
      <c r="C10">
        <v>7.3</v>
      </c>
      <c r="D10" s="150">
        <f t="shared" si="0"/>
        <v>0.36986301369863017</v>
      </c>
      <c r="E10" s="150">
        <f t="shared" si="1"/>
        <v>0.26153264509639368</v>
      </c>
      <c r="F10" s="151">
        <f t="shared" si="2"/>
        <v>1.4142135623730985E-2</v>
      </c>
      <c r="G10">
        <f t="shared" si="3"/>
        <v>0.13343502300836413</v>
      </c>
      <c r="H10">
        <v>10</v>
      </c>
      <c r="I10">
        <v>20</v>
      </c>
      <c r="J10" s="150">
        <f t="shared" si="4"/>
        <v>-0.66666666666666663</v>
      </c>
      <c r="K10" s="150">
        <f t="shared" si="5"/>
        <v>0.47140452079103168</v>
      </c>
      <c r="L10" s="151">
        <f t="shared" si="6"/>
        <v>-1.4142135623730949E-2</v>
      </c>
      <c r="M10">
        <f t="shared" si="7"/>
        <v>0.24051251060766923</v>
      </c>
    </row>
    <row r="11" spans="2:15" x14ac:dyDescent="0.25">
      <c r="B11">
        <v>5</v>
      </c>
      <c r="C11">
        <v>3.7</v>
      </c>
      <c r="D11" s="150">
        <f t="shared" si="0"/>
        <v>0.35135135135135126</v>
      </c>
      <c r="E11" s="150">
        <f t="shared" si="1"/>
        <v>0.24844292311959865</v>
      </c>
      <c r="F11" s="151">
        <f t="shared" si="2"/>
        <v>1.4142135623730899E-2</v>
      </c>
      <c r="G11">
        <f t="shared" si="3"/>
        <v>0.12675659342836665</v>
      </c>
      <c r="H11">
        <v>5</v>
      </c>
      <c r="I11">
        <v>7</v>
      </c>
      <c r="J11" s="150">
        <f t="shared" si="4"/>
        <v>-0.33333333333333331</v>
      </c>
      <c r="K11" s="150">
        <f t="shared" si="5"/>
        <v>0.23570226039551587</v>
      </c>
      <c r="L11" s="151">
        <f t="shared" si="6"/>
        <v>-1.4142135623730949E-2</v>
      </c>
      <c r="M11">
        <f t="shared" si="7"/>
        <v>0.12025625530383463</v>
      </c>
    </row>
    <row r="12" spans="2:15" x14ac:dyDescent="0.25">
      <c r="B12">
        <v>14</v>
      </c>
      <c r="C12">
        <v>10</v>
      </c>
      <c r="D12" s="150">
        <f t="shared" si="0"/>
        <v>0.4</v>
      </c>
      <c r="E12" s="150">
        <f t="shared" si="1"/>
        <v>0.28284271247461901</v>
      </c>
      <c r="F12" s="151">
        <f t="shared" si="2"/>
        <v>1.4142135623730951E-2</v>
      </c>
      <c r="G12">
        <f t="shared" si="3"/>
        <v>0.14430750636460155</v>
      </c>
      <c r="H12">
        <v>14</v>
      </c>
      <c r="I12">
        <v>25</v>
      </c>
      <c r="J12" s="150">
        <f t="shared" si="4"/>
        <v>-0.5641025641025641</v>
      </c>
      <c r="K12" s="150">
        <f t="shared" si="5"/>
        <v>0.39888074836164217</v>
      </c>
      <c r="L12" s="151">
        <f t="shared" si="6"/>
        <v>-1.4142135623730951E-2</v>
      </c>
      <c r="M12">
        <f t="shared" si="7"/>
        <v>0.20351058589879703</v>
      </c>
    </row>
    <row r="13" spans="2:15" x14ac:dyDescent="0.25">
      <c r="B13">
        <v>34</v>
      </c>
      <c r="C13">
        <v>25</v>
      </c>
      <c r="D13" s="150">
        <f t="shared" si="0"/>
        <v>0.36</v>
      </c>
      <c r="E13" s="150">
        <f t="shared" si="1"/>
        <v>0.2545584412271571</v>
      </c>
      <c r="F13" s="151">
        <f t="shared" si="2"/>
        <v>1.4142135623730951E-2</v>
      </c>
      <c r="G13">
        <f t="shared" si="3"/>
        <v>0.12987675572814139</v>
      </c>
      <c r="H13">
        <v>15</v>
      </c>
      <c r="I13">
        <v>25</v>
      </c>
      <c r="J13" s="150">
        <f t="shared" si="4"/>
        <v>-0.5</v>
      </c>
      <c r="K13" s="150">
        <f t="shared" si="5"/>
        <v>0.35355339059327379</v>
      </c>
      <c r="L13" s="151">
        <f t="shared" si="6"/>
        <v>-1.4142135623730949E-2</v>
      </c>
      <c r="M13">
        <f t="shared" si="7"/>
        <v>0.18038438295575193</v>
      </c>
    </row>
    <row r="14" spans="2:15" x14ac:dyDescent="0.25">
      <c r="B14">
        <v>17</v>
      </c>
      <c r="C14">
        <v>27</v>
      </c>
      <c r="D14" s="150">
        <f t="shared" si="0"/>
        <v>-0.37037037037037035</v>
      </c>
      <c r="E14" s="150">
        <f t="shared" si="1"/>
        <v>0.26189140043946207</v>
      </c>
      <c r="F14" s="151">
        <f t="shared" si="2"/>
        <v>-1.4142135623730949E-2</v>
      </c>
      <c r="G14">
        <f t="shared" si="3"/>
        <v>0.13361806144870514</v>
      </c>
      <c r="H14">
        <v>17</v>
      </c>
      <c r="I14">
        <v>27</v>
      </c>
      <c r="J14" s="150">
        <f t="shared" si="4"/>
        <v>-0.45454545454545453</v>
      </c>
      <c r="K14" s="150">
        <f t="shared" si="5"/>
        <v>0.32141217326661253</v>
      </c>
      <c r="L14" s="151">
        <f t="shared" si="6"/>
        <v>-1.4142135623730949E-2</v>
      </c>
      <c r="M14">
        <f t="shared" si="7"/>
        <v>0.16398580268704721</v>
      </c>
    </row>
    <row r="15" spans="2:15" x14ac:dyDescent="0.25">
      <c r="B15">
        <v>4</v>
      </c>
      <c r="C15">
        <v>8</v>
      </c>
      <c r="D15" s="150">
        <f t="shared" si="0"/>
        <v>-0.5</v>
      </c>
      <c r="E15" s="150">
        <f t="shared" si="1"/>
        <v>0.35355339059327379</v>
      </c>
      <c r="F15" s="151">
        <f t="shared" si="2"/>
        <v>-1.4142135623730949E-2</v>
      </c>
      <c r="G15">
        <f t="shared" si="3"/>
        <v>0.18038438295575193</v>
      </c>
    </row>
    <row r="16" spans="2:15" x14ac:dyDescent="0.25">
      <c r="B16">
        <v>8</v>
      </c>
      <c r="C16">
        <v>4</v>
      </c>
      <c r="D16" s="150">
        <f t="shared" si="0"/>
        <v>1</v>
      </c>
      <c r="E16" s="150">
        <f t="shared" si="1"/>
        <v>0.70710678118654757</v>
      </c>
      <c r="F16" s="151">
        <f t="shared" si="2"/>
        <v>1.4142135623730949E-2</v>
      </c>
      <c r="G16">
        <f t="shared" si="3"/>
        <v>0.36076876591150386</v>
      </c>
    </row>
    <row r="17" spans="4:5" x14ac:dyDescent="0.25">
      <c r="D17" s="150"/>
      <c r="E17" s="150"/>
    </row>
    <row r="18" spans="4:5" x14ac:dyDescent="0.25">
      <c r="D18" s="150"/>
      <c r="E18" s="15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workbookViewId="0">
      <selection activeCell="F30" sqref="F30"/>
    </sheetView>
  </sheetViews>
  <sheetFormatPr defaultRowHeight="15" x14ac:dyDescent="0.25"/>
  <cols>
    <col min="4" max="4" width="12" bestFit="1" customWidth="1"/>
    <col min="5" max="5" width="36.7109375" customWidth="1"/>
    <col min="12" max="12" width="11.42578125" customWidth="1"/>
  </cols>
  <sheetData>
    <row r="1" spans="2:20" x14ac:dyDescent="0.25">
      <c r="F1" t="s">
        <v>77</v>
      </c>
      <c r="K1" t="s">
        <v>85</v>
      </c>
    </row>
    <row r="2" spans="2:20" x14ac:dyDescent="0.25">
      <c r="B2" t="s">
        <v>81</v>
      </c>
      <c r="C2" t="s">
        <v>45</v>
      </c>
      <c r="F2" t="s">
        <v>66</v>
      </c>
      <c r="G2" t="s">
        <v>67</v>
      </c>
      <c r="K2" t="s">
        <v>80</v>
      </c>
      <c r="S2" t="s">
        <v>32</v>
      </c>
      <c r="T2" t="s">
        <v>79</v>
      </c>
    </row>
    <row r="3" spans="2:20" x14ac:dyDescent="0.25">
      <c r="B3" s="4">
        <v>1.1000000000000001</v>
      </c>
      <c r="C3">
        <f>LN(B3)</f>
        <v>9.5310179804324935E-2</v>
      </c>
      <c r="E3" t="s">
        <v>69</v>
      </c>
      <c r="F3">
        <v>5</v>
      </c>
      <c r="G3">
        <f>60*F3</f>
        <v>300</v>
      </c>
      <c r="K3">
        <f>0.05*37</f>
        <v>1.85</v>
      </c>
      <c r="L3" t="s">
        <v>69</v>
      </c>
      <c r="N3" s="93" t="s">
        <v>72</v>
      </c>
      <c r="S3">
        <v>4</v>
      </c>
      <c r="T3">
        <f>S3*0.037*1000</f>
        <v>148</v>
      </c>
    </row>
    <row r="4" spans="2:20" x14ac:dyDescent="0.25">
      <c r="B4" s="4">
        <v>1.1000000000000001</v>
      </c>
      <c r="C4">
        <f t="shared" ref="C4:C19" si="0">LN(B4)</f>
        <v>9.5310179804324935E-2</v>
      </c>
      <c r="E4" t="s">
        <v>87</v>
      </c>
      <c r="F4">
        <v>0.3</v>
      </c>
      <c r="G4">
        <f>60*F4</f>
        <v>18</v>
      </c>
      <c r="K4" t="s">
        <v>82</v>
      </c>
      <c r="N4" s="94"/>
      <c r="S4">
        <v>9</v>
      </c>
      <c r="T4">
        <f t="shared" ref="T4:T24" si="1">S4*0.037*1000</f>
        <v>332.99999999999994</v>
      </c>
    </row>
    <row r="5" spans="2:20" x14ac:dyDescent="0.25">
      <c r="B5" s="4">
        <v>1.1000000000000001</v>
      </c>
      <c r="C5">
        <f t="shared" si="0"/>
        <v>9.5310179804324935E-2</v>
      </c>
      <c r="E5" t="s">
        <v>70</v>
      </c>
      <c r="G5">
        <v>6</v>
      </c>
      <c r="K5">
        <f>60*K3</f>
        <v>111</v>
      </c>
      <c r="N5" s="94"/>
      <c r="S5">
        <v>159</v>
      </c>
      <c r="T5">
        <f t="shared" si="1"/>
        <v>5883</v>
      </c>
    </row>
    <row r="6" spans="2:20" x14ac:dyDescent="0.25">
      <c r="B6" s="4">
        <v>1.1000000000000001</v>
      </c>
      <c r="C6">
        <f t="shared" si="0"/>
        <v>9.5310179804324935E-2</v>
      </c>
      <c r="E6" t="s">
        <v>71</v>
      </c>
      <c r="G6">
        <v>15</v>
      </c>
      <c r="N6" s="93" t="s">
        <v>73</v>
      </c>
      <c r="S6">
        <v>1</v>
      </c>
      <c r="T6">
        <f t="shared" si="1"/>
        <v>37</v>
      </c>
    </row>
    <row r="7" spans="2:20" x14ac:dyDescent="0.25">
      <c r="B7" s="4">
        <v>1.1000000000000001</v>
      </c>
      <c r="C7">
        <f t="shared" si="0"/>
        <v>9.5310179804324935E-2</v>
      </c>
      <c r="E7" s="93" t="s">
        <v>76</v>
      </c>
      <c r="F7">
        <v>0.33</v>
      </c>
      <c r="G7">
        <f>60*F7</f>
        <v>19.8</v>
      </c>
      <c r="N7" s="93" t="s">
        <v>74</v>
      </c>
      <c r="S7">
        <v>120</v>
      </c>
      <c r="T7">
        <f t="shared" si="1"/>
        <v>4439.9999999999991</v>
      </c>
    </row>
    <row r="8" spans="2:20" x14ac:dyDescent="0.25">
      <c r="B8" s="4">
        <v>1.1000000000000001</v>
      </c>
      <c r="C8">
        <f t="shared" si="0"/>
        <v>9.5310179804324935E-2</v>
      </c>
      <c r="E8" t="s">
        <v>78</v>
      </c>
      <c r="G8">
        <v>3</v>
      </c>
      <c r="N8" s="93" t="s">
        <v>75</v>
      </c>
      <c r="S8">
        <v>73</v>
      </c>
      <c r="T8">
        <f t="shared" si="1"/>
        <v>2701</v>
      </c>
    </row>
    <row r="9" spans="2:20" x14ac:dyDescent="0.25">
      <c r="B9" s="4">
        <v>2</v>
      </c>
      <c r="C9">
        <f t="shared" si="0"/>
        <v>0.69314718055994529</v>
      </c>
      <c r="E9" t="s">
        <v>71</v>
      </c>
      <c r="G9">
        <v>15</v>
      </c>
      <c r="K9" t="s">
        <v>86</v>
      </c>
      <c r="S9">
        <v>159</v>
      </c>
      <c r="T9">
        <f t="shared" si="1"/>
        <v>5883</v>
      </c>
    </row>
    <row r="10" spans="2:20" x14ac:dyDescent="0.25">
      <c r="B10" s="4">
        <v>2</v>
      </c>
      <c r="C10">
        <f t="shared" si="0"/>
        <v>0.69314718055994529</v>
      </c>
      <c r="E10" t="s">
        <v>88</v>
      </c>
      <c r="G10">
        <v>2.5</v>
      </c>
      <c r="S10">
        <v>0.7</v>
      </c>
      <c r="T10">
        <f t="shared" si="1"/>
        <v>25.899999999999995</v>
      </c>
    </row>
    <row r="11" spans="2:20" x14ac:dyDescent="0.25">
      <c r="B11" s="4">
        <v>2</v>
      </c>
      <c r="C11">
        <f t="shared" si="0"/>
        <v>0.69314718055994529</v>
      </c>
      <c r="S11">
        <v>10</v>
      </c>
      <c r="T11">
        <f t="shared" si="1"/>
        <v>370</v>
      </c>
    </row>
    <row r="12" spans="2:20" x14ac:dyDescent="0.25">
      <c r="B12" s="4">
        <v>3</v>
      </c>
      <c r="C12">
        <f t="shared" si="0"/>
        <v>1.0986122886681098</v>
      </c>
      <c r="S12">
        <v>87</v>
      </c>
      <c r="T12">
        <f t="shared" si="1"/>
        <v>3219</v>
      </c>
    </row>
    <row r="13" spans="2:20" x14ac:dyDescent="0.25">
      <c r="B13" s="4">
        <v>3</v>
      </c>
      <c r="C13">
        <f t="shared" si="0"/>
        <v>1.0986122886681098</v>
      </c>
      <c r="E13" s="104" t="s">
        <v>89</v>
      </c>
      <c r="F13" s="104" t="s">
        <v>91</v>
      </c>
      <c r="G13" s="104" t="s">
        <v>92</v>
      </c>
      <c r="S13">
        <v>100</v>
      </c>
      <c r="T13">
        <f t="shared" si="1"/>
        <v>3699.9999999999995</v>
      </c>
    </row>
    <row r="14" spans="2:20" x14ac:dyDescent="0.25">
      <c r="B14" s="4">
        <v>3</v>
      </c>
      <c r="C14">
        <f t="shared" si="0"/>
        <v>1.0986122886681098</v>
      </c>
      <c r="E14">
        <v>1.2</v>
      </c>
      <c r="F14">
        <f>E14/4</f>
        <v>0.3</v>
      </c>
      <c r="G14">
        <f>F14*60</f>
        <v>18</v>
      </c>
      <c r="H14" t="s">
        <v>68</v>
      </c>
      <c r="S14">
        <v>50</v>
      </c>
      <c r="T14">
        <f t="shared" si="1"/>
        <v>1849.9999999999998</v>
      </c>
    </row>
    <row r="15" spans="2:20" x14ac:dyDescent="0.25">
      <c r="B15" s="4">
        <v>4</v>
      </c>
      <c r="C15">
        <f t="shared" si="0"/>
        <v>1.3862943611198906</v>
      </c>
      <c r="E15">
        <v>7.6</v>
      </c>
      <c r="F15">
        <f t="shared" ref="F15:F17" si="2">E15/4</f>
        <v>1.9</v>
      </c>
      <c r="G15">
        <f t="shared" ref="G15:G17" si="3">F15*60</f>
        <v>114</v>
      </c>
      <c r="H15" t="s">
        <v>93</v>
      </c>
      <c r="S15">
        <v>20</v>
      </c>
      <c r="T15">
        <f t="shared" si="1"/>
        <v>740</v>
      </c>
    </row>
    <row r="16" spans="2:20" x14ac:dyDescent="0.25">
      <c r="B16" s="4">
        <v>4</v>
      </c>
      <c r="C16">
        <f t="shared" si="0"/>
        <v>1.3862943611198906</v>
      </c>
      <c r="E16">
        <v>0.17</v>
      </c>
      <c r="F16">
        <f t="shared" si="2"/>
        <v>4.2500000000000003E-2</v>
      </c>
      <c r="G16">
        <f t="shared" si="3"/>
        <v>2.5500000000000003</v>
      </c>
      <c r="H16" t="s">
        <v>88</v>
      </c>
      <c r="S16">
        <v>10</v>
      </c>
      <c r="T16">
        <f t="shared" si="1"/>
        <v>370</v>
      </c>
    </row>
    <row r="17" spans="1:20" x14ac:dyDescent="0.25">
      <c r="B17" s="4">
        <v>5</v>
      </c>
      <c r="C17">
        <f t="shared" si="0"/>
        <v>1.6094379124341003</v>
      </c>
      <c r="E17">
        <v>2</v>
      </c>
      <c r="F17">
        <f t="shared" si="2"/>
        <v>0.5</v>
      </c>
      <c r="G17">
        <f t="shared" si="3"/>
        <v>30</v>
      </c>
      <c r="H17" t="s">
        <v>90</v>
      </c>
      <c r="S17">
        <v>12</v>
      </c>
      <c r="T17">
        <f t="shared" si="1"/>
        <v>443.99999999999994</v>
      </c>
    </row>
    <row r="18" spans="1:20" x14ac:dyDescent="0.25">
      <c r="B18" s="4">
        <v>7</v>
      </c>
      <c r="C18">
        <f t="shared" si="0"/>
        <v>1.9459101490553132</v>
      </c>
      <c r="S18">
        <v>11</v>
      </c>
      <c r="T18">
        <f t="shared" si="1"/>
        <v>407</v>
      </c>
    </row>
    <row r="19" spans="1:20" x14ac:dyDescent="0.25">
      <c r="B19" s="4">
        <v>15</v>
      </c>
      <c r="C19">
        <f t="shared" si="0"/>
        <v>2.7080502011022101</v>
      </c>
      <c r="S19">
        <v>5</v>
      </c>
      <c r="T19">
        <f t="shared" si="1"/>
        <v>185</v>
      </c>
    </row>
    <row r="20" spans="1:20" x14ac:dyDescent="0.25">
      <c r="A20" s="4" t="s">
        <v>42</v>
      </c>
      <c r="B20" t="s">
        <v>43</v>
      </c>
      <c r="S20">
        <v>4</v>
      </c>
      <c r="T20">
        <f t="shared" si="1"/>
        <v>148</v>
      </c>
    </row>
    <row r="21" spans="1:20" x14ac:dyDescent="0.25">
      <c r="A21" s="4">
        <f>AVERAGE(B3:B19)</f>
        <v>3.3294117647058825</v>
      </c>
      <c r="B21" s="6">
        <f>AVERAGE(C3:C19)</f>
        <v>0.88136038066714828</v>
      </c>
      <c r="C21" s="4">
        <f>(B3*B4*B5*B6*B7*B8*B9*B10*B11*B12*B13*B14*B15*B16*B17*B18*B19)^(1/C24)</f>
        <v>2.4141816796285616</v>
      </c>
      <c r="S21">
        <v>3</v>
      </c>
      <c r="T21">
        <f t="shared" si="1"/>
        <v>110.99999999999999</v>
      </c>
    </row>
    <row r="22" spans="1:20" x14ac:dyDescent="0.25">
      <c r="A22" s="4">
        <f>STDEV(B3:B19)</f>
        <v>3.4352519387015765</v>
      </c>
      <c r="B22" s="6">
        <f>STDEV(C3:C19)</f>
        <v>0.7691388350488485</v>
      </c>
      <c r="D22" s="6">
        <f>EXP(B22)</f>
        <v>2.1579071394014435</v>
      </c>
      <c r="E22" t="s">
        <v>46</v>
      </c>
      <c r="S22">
        <v>2</v>
      </c>
      <c r="T22">
        <f t="shared" si="1"/>
        <v>74</v>
      </c>
    </row>
    <row r="23" spans="1:20" x14ac:dyDescent="0.25">
      <c r="A23" s="4">
        <f>GEOMEAN(B3:B19)</f>
        <v>2.414181679628562</v>
      </c>
      <c r="S23">
        <v>2.7</v>
      </c>
      <c r="T23">
        <f t="shared" si="1"/>
        <v>99.9</v>
      </c>
    </row>
    <row r="24" spans="1:20" x14ac:dyDescent="0.25">
      <c r="B24" t="s">
        <v>44</v>
      </c>
      <c r="C24">
        <f>COUNT(C3:C19)</f>
        <v>17</v>
      </c>
      <c r="S24">
        <v>8.1</v>
      </c>
      <c r="T24">
        <f t="shared" si="1"/>
        <v>299.7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CalibDurationEtcCalcs</vt:lpstr>
      <vt:lpstr>OptimalCountingTimeBkgCalib</vt:lpstr>
      <vt:lpstr>Resultant_CRM_Uncertainty</vt:lpstr>
      <vt:lpstr>UncertaintyIn2ndaryChamber</vt:lpstr>
      <vt:lpstr>QC_scribbling</vt:lpstr>
      <vt:lpstr>scribbling</vt:lpstr>
      <vt:lpstr>CF</vt:lpstr>
      <vt:lpstr>CONC</vt:lpstr>
      <vt:lpstr>CSE</vt:lpstr>
      <vt:lpstr>Hrs</vt:lpstr>
      <vt:lpstr>SE</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mrb-fast</dc:creator>
  <cp:lastModifiedBy>melinda</cp:lastModifiedBy>
  <dcterms:created xsi:type="dcterms:W3CDTF">2016-01-28T15:59:36Z</dcterms:created>
  <dcterms:modified xsi:type="dcterms:W3CDTF">2018-02-10T13:40:15Z</dcterms:modified>
</cp:coreProperties>
</file>