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linda\Google Drive\UniversalFolder\ANSI Rn stnd\MS QA\0ACurrent-2018\"/>
    </mc:Choice>
  </mc:AlternateContent>
  <bookViews>
    <workbookView xWindow="0" yWindow="0" windowWidth="16395" windowHeight="6660" tabRatio="707" activeTab="2"/>
  </bookViews>
  <sheets>
    <sheet name="CalibDurationEtcCalcs" sheetId="11" r:id="rId1"/>
    <sheet name="OptimalCountingTimeBkgCalib" sheetId="9" r:id="rId2"/>
    <sheet name="Resultant_CRM_Uncertainty" sheetId="8" r:id="rId3"/>
    <sheet name="UncertaintyIn2ndaryChamber" sheetId="4" r:id="rId4"/>
    <sheet name="QC_scribbling" sheetId="10" r:id="rId5"/>
    <sheet name="scribbling" sheetId="7" r:id="rId6"/>
  </sheets>
  <definedNames>
    <definedName name="CF">CalibDurationEtcCalcs!$C$3</definedName>
    <definedName name="CONC">CalibDurationEtcCalcs!$C$5</definedName>
    <definedName name="CSE" comment="calibration chamber uncertainty in standard error for minimum calibration period">CalibDurationEtcCalcs!$C$12</definedName>
    <definedName name="Hrs">CalibDurationEtcCalcs!$M$8</definedName>
    <definedName name="SE">CalibDurationEtcCalcs!$C$7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0" l="1"/>
  <c r="G16" i="10" s="1"/>
  <c r="D16" i="10"/>
  <c r="F16" i="10" s="1"/>
  <c r="E15" i="10"/>
  <c r="G15" i="10" s="1"/>
  <c r="D15" i="10"/>
  <c r="F15" i="10" s="1"/>
  <c r="K14" i="10"/>
  <c r="M14" i="10" s="1"/>
  <c r="J14" i="10"/>
  <c r="L14" i="10" s="1"/>
  <c r="E14" i="10"/>
  <c r="G14" i="10" s="1"/>
  <c r="D14" i="10"/>
  <c r="F14" i="10" s="1"/>
  <c r="K13" i="10"/>
  <c r="M13" i="10" s="1"/>
  <c r="J13" i="10"/>
  <c r="L13" i="10" s="1"/>
  <c r="E13" i="10"/>
  <c r="G13" i="10" s="1"/>
  <c r="D13" i="10"/>
  <c r="F13" i="10" s="1"/>
  <c r="K12" i="10"/>
  <c r="M12" i="10" s="1"/>
  <c r="J12" i="10"/>
  <c r="L12" i="10" s="1"/>
  <c r="E12" i="10"/>
  <c r="G12" i="10" s="1"/>
  <c r="D12" i="10"/>
  <c r="F12" i="10" s="1"/>
  <c r="K11" i="10"/>
  <c r="M11" i="10" s="1"/>
  <c r="J11" i="10"/>
  <c r="L11" i="10" s="1"/>
  <c r="E11" i="10"/>
  <c r="G11" i="10" s="1"/>
  <c r="D11" i="10"/>
  <c r="F11" i="10" s="1"/>
  <c r="K10" i="10"/>
  <c r="M10" i="10" s="1"/>
  <c r="J10" i="10"/>
  <c r="L10" i="10" s="1"/>
  <c r="E10" i="10"/>
  <c r="G10" i="10" s="1"/>
  <c r="D10" i="10"/>
  <c r="F10" i="10" s="1"/>
  <c r="K9" i="10"/>
  <c r="M9" i="10" s="1"/>
  <c r="J9" i="10"/>
  <c r="L9" i="10" s="1"/>
  <c r="E9" i="10"/>
  <c r="G9" i="10" s="1"/>
  <c r="D9" i="10"/>
  <c r="F9" i="10" s="1"/>
  <c r="K8" i="10"/>
  <c r="M8" i="10" s="1"/>
  <c r="J8" i="10"/>
  <c r="L8" i="10" s="1"/>
  <c r="E8" i="10"/>
  <c r="G8" i="10" s="1"/>
  <c r="D8" i="10"/>
  <c r="F8" i="10" s="1"/>
  <c r="K7" i="10"/>
  <c r="M7" i="10" s="1"/>
  <c r="J7" i="10"/>
  <c r="L7" i="10" s="1"/>
  <c r="E7" i="10"/>
  <c r="G7" i="10" s="1"/>
  <c r="D7" i="10"/>
  <c r="F7" i="10" s="1"/>
  <c r="K6" i="10"/>
  <c r="M6" i="10" s="1"/>
  <c r="J6" i="10"/>
  <c r="L6" i="10" s="1"/>
  <c r="E6" i="10"/>
  <c r="G6" i="10" s="1"/>
  <c r="D6" i="10"/>
  <c r="F6" i="10" s="1"/>
  <c r="K5" i="10"/>
  <c r="M5" i="10" s="1"/>
  <c r="J5" i="10"/>
  <c r="L5" i="10" s="1"/>
  <c r="E5" i="10"/>
  <c r="G5" i="10" s="1"/>
  <c r="D5" i="10"/>
  <c r="F5" i="10" s="1"/>
  <c r="K4" i="10"/>
  <c r="M4" i="10" s="1"/>
  <c r="J4" i="10"/>
  <c r="L4" i="10" s="1"/>
  <c r="E4" i="10"/>
  <c r="G4" i="10" s="1"/>
  <c r="D4" i="10"/>
  <c r="F4" i="10" s="1"/>
  <c r="P7" i="11" l="1"/>
  <c r="M7" i="11" s="1"/>
  <c r="M15" i="11" s="1"/>
  <c r="G20" i="8"/>
  <c r="C8" i="11" l="1"/>
  <c r="D27" i="8" l="1"/>
  <c r="F27" i="8" s="1"/>
  <c r="D26" i="8"/>
  <c r="E26" i="8" s="1"/>
  <c r="G26" i="8" s="1"/>
  <c r="D25" i="8"/>
  <c r="F25" i="8" s="1"/>
  <c r="D24" i="8"/>
  <c r="F24" i="8" s="1"/>
  <c r="D23" i="8"/>
  <c r="F23" i="8" s="1"/>
  <c r="D22" i="8"/>
  <c r="E22" i="8" s="1"/>
  <c r="G22" i="8" s="1"/>
  <c r="D21" i="8"/>
  <c r="F21" i="8" s="1"/>
  <c r="D20" i="8"/>
  <c r="F20" i="8" s="1"/>
  <c r="F26" i="8" l="1"/>
  <c r="E25" i="8"/>
  <c r="G25" i="8" s="1"/>
  <c r="F22" i="8"/>
  <c r="E21" i="8"/>
  <c r="G21" i="8" s="1"/>
  <c r="J21" i="8" s="1"/>
  <c r="K23" i="8"/>
  <c r="I25" i="8"/>
  <c r="K25" i="8"/>
  <c r="J25" i="8"/>
  <c r="K21" i="8"/>
  <c r="J26" i="8"/>
  <c r="I26" i="8"/>
  <c r="K26" i="8"/>
  <c r="J22" i="8"/>
  <c r="I22" i="8"/>
  <c r="K22" i="8"/>
  <c r="E20" i="8"/>
  <c r="K20" i="8" s="1"/>
  <c r="E24" i="8"/>
  <c r="G24" i="8" s="1"/>
  <c r="I24" i="8" s="1"/>
  <c r="E23" i="8"/>
  <c r="G23" i="8" s="1"/>
  <c r="J23" i="8" s="1"/>
  <c r="E27" i="8"/>
  <c r="G27" i="8" s="1"/>
  <c r="J27" i="8" s="1"/>
  <c r="C15" i="11"/>
  <c r="K27" i="8" l="1"/>
  <c r="I23" i="8"/>
  <c r="J24" i="8"/>
  <c r="K24" i="8"/>
  <c r="I27" i="8"/>
  <c r="I21" i="8"/>
  <c r="J20" i="8"/>
  <c r="I20" i="8"/>
  <c r="E12" i="4"/>
  <c r="I4" i="9"/>
  <c r="I3" i="9" l="1"/>
  <c r="H22" i="9" l="1"/>
  <c r="I22" i="9" s="1"/>
  <c r="B22" i="9"/>
  <c r="H21" i="9"/>
  <c r="I21" i="9" s="1"/>
  <c r="B21" i="9"/>
  <c r="H20" i="9"/>
  <c r="I20" i="9" s="1"/>
  <c r="B20" i="9"/>
  <c r="I19" i="9"/>
  <c r="H19" i="9"/>
  <c r="B19" i="9"/>
  <c r="H18" i="9"/>
  <c r="I18" i="9" s="1"/>
  <c r="B18" i="9"/>
  <c r="C17" i="9"/>
  <c r="H17" i="9" s="1"/>
  <c r="I16" i="9"/>
  <c r="H16" i="9"/>
  <c r="B16" i="9"/>
  <c r="H10" i="9"/>
  <c r="I10" i="9" s="1"/>
  <c r="G10" i="9"/>
  <c r="B10" i="9"/>
  <c r="H9" i="9"/>
  <c r="I9" i="9" s="1"/>
  <c r="G9" i="9"/>
  <c r="B9" i="9"/>
  <c r="H8" i="9"/>
  <c r="I8" i="9" s="1"/>
  <c r="G8" i="9"/>
  <c r="B8" i="9"/>
  <c r="H7" i="9"/>
  <c r="I7" i="9" s="1"/>
  <c r="G7" i="9"/>
  <c r="B7" i="9"/>
  <c r="X6" i="9"/>
  <c r="K6" i="9"/>
  <c r="D17" i="9" s="1"/>
  <c r="B17" i="9" s="1"/>
  <c r="I6" i="9"/>
  <c r="H6" i="9"/>
  <c r="G6" i="9"/>
  <c r="B6" i="9"/>
  <c r="Z5" i="9"/>
  <c r="X5" i="9"/>
  <c r="H5" i="9"/>
  <c r="I5" i="9" s="1"/>
  <c r="B5" i="9"/>
  <c r="H4" i="9"/>
  <c r="G4" i="9"/>
  <c r="B4" i="9"/>
  <c r="H3" i="9"/>
  <c r="G3" i="9"/>
  <c r="B3" i="9"/>
  <c r="I17" i="9" l="1"/>
  <c r="F14" i="7" l="1"/>
  <c r="G14" i="7" s="1"/>
  <c r="F15" i="7" l="1"/>
  <c r="G15" i="7" s="1"/>
  <c r="F16" i="7"/>
  <c r="G16" i="7" s="1"/>
  <c r="F17" i="7"/>
  <c r="G17" i="7" s="1"/>
  <c r="K3" i="7" l="1"/>
  <c r="K5" i="7" s="1"/>
  <c r="T24" i="7"/>
  <c r="T23" i="7"/>
  <c r="T22" i="7"/>
  <c r="T21" i="7"/>
  <c r="T20" i="7"/>
  <c r="T19" i="7"/>
  <c r="T18" i="7"/>
  <c r="T17" i="7"/>
  <c r="T16" i="7"/>
  <c r="T15" i="7"/>
  <c r="T14" i="7"/>
  <c r="T13" i="7"/>
  <c r="T12" i="7"/>
  <c r="T11" i="7"/>
  <c r="T10" i="7"/>
  <c r="T9" i="7"/>
  <c r="T8" i="7"/>
  <c r="T7" i="7"/>
  <c r="T6" i="7"/>
  <c r="T5" i="7"/>
  <c r="T4" i="7"/>
  <c r="T3" i="7"/>
  <c r="D7" i="8" l="1"/>
  <c r="D8" i="8"/>
  <c r="D9" i="8"/>
  <c r="D10" i="8"/>
  <c r="D11" i="8"/>
  <c r="D6" i="8"/>
  <c r="G7" i="7"/>
  <c r="G4" i="7"/>
  <c r="G3" i="7"/>
  <c r="E13" i="4" l="1"/>
  <c r="F13" i="4" s="1"/>
  <c r="D4" i="8"/>
  <c r="F4" i="8" s="1"/>
  <c r="G4" i="8" s="1"/>
  <c r="D5" i="8"/>
  <c r="E5" i="8" s="1"/>
  <c r="E6" i="8"/>
  <c r="E7" i="8"/>
  <c r="F8" i="8"/>
  <c r="G8" i="8" s="1"/>
  <c r="J8" i="8" s="1"/>
  <c r="E9" i="8"/>
  <c r="E10" i="8"/>
  <c r="E11" i="8"/>
  <c r="I8" i="8" l="1"/>
  <c r="K8" i="8"/>
  <c r="E4" i="8"/>
  <c r="J4" i="8"/>
  <c r="F7" i="8"/>
  <c r="G7" i="8" s="1"/>
  <c r="J7" i="8" s="1"/>
  <c r="F11" i="8"/>
  <c r="G11" i="8" s="1"/>
  <c r="J11" i="8" s="1"/>
  <c r="E8" i="8"/>
  <c r="F10" i="8"/>
  <c r="G10" i="8" s="1"/>
  <c r="J10" i="8" s="1"/>
  <c r="F6" i="8"/>
  <c r="G6" i="8" s="1"/>
  <c r="J6" i="8" s="1"/>
  <c r="F9" i="8"/>
  <c r="G9" i="8" s="1"/>
  <c r="J9" i="8" s="1"/>
  <c r="F5" i="8"/>
  <c r="G5" i="8" s="1"/>
  <c r="I5" i="8" s="1"/>
  <c r="J5" i="8" l="1"/>
  <c r="I10" i="8"/>
  <c r="K10" i="8"/>
  <c r="K7" i="8"/>
  <c r="K9" i="8"/>
  <c r="K4" i="8"/>
  <c r="K5" i="8"/>
  <c r="I4" i="8"/>
  <c r="K6" i="8"/>
  <c r="K11" i="8"/>
  <c r="I9" i="8"/>
  <c r="I7" i="8"/>
  <c r="I6" i="8"/>
  <c r="I11" i="8"/>
  <c r="A23" i="7" l="1"/>
  <c r="C4" i="7"/>
  <c r="C5" i="7"/>
  <c r="C6" i="7"/>
  <c r="C24" i="7" s="1"/>
  <c r="C21" i="7" s="1"/>
  <c r="C7" i="7"/>
  <c r="C8" i="7"/>
  <c r="C9" i="7"/>
  <c r="C10" i="7"/>
  <c r="C11" i="7"/>
  <c r="C12" i="7"/>
  <c r="C13" i="7"/>
  <c r="C14" i="7"/>
  <c r="C15" i="7"/>
  <c r="C16" i="7"/>
  <c r="C17" i="7"/>
  <c r="C18" i="7"/>
  <c r="C19" i="7"/>
  <c r="C3" i="7"/>
  <c r="A22" i="7"/>
  <c r="A21" i="7"/>
  <c r="B21" i="7" l="1"/>
  <c r="B22" i="7"/>
  <c r="D22" i="7" s="1"/>
  <c r="E17" i="4"/>
  <c r="F17" i="4" s="1"/>
  <c r="E21" i="4"/>
  <c r="F21" i="4" s="1"/>
  <c r="C20" i="4"/>
  <c r="F20" i="4" s="1"/>
  <c r="F19" i="4"/>
  <c r="C16" i="4"/>
  <c r="F16" i="4" s="1"/>
  <c r="F15" i="4"/>
  <c r="E14" i="4"/>
  <c r="F14" i="4" s="1"/>
  <c r="F10" i="4"/>
  <c r="F9" i="4"/>
  <c r="F8" i="4"/>
  <c r="J7" i="4"/>
  <c r="F7" i="4"/>
  <c r="F6" i="4"/>
  <c r="J5" i="4"/>
  <c r="C5" i="4"/>
  <c r="F5" i="4" s="1"/>
  <c r="C4" i="4"/>
  <c r="F4" i="4" s="1"/>
  <c r="C12" i="4" s="1"/>
  <c r="F12" i="4" l="1"/>
  <c r="G18" i="4" s="1"/>
  <c r="H18" i="4" s="1"/>
  <c r="I18" i="4" s="1"/>
  <c r="G22" i="4" l="1"/>
  <c r="H22" i="4" s="1"/>
  <c r="I22" i="4" s="1"/>
</calcChain>
</file>

<file path=xl/comments1.xml><?xml version="1.0" encoding="utf-8"?>
<comments xmlns="http://schemas.openxmlformats.org/spreadsheetml/2006/main">
  <authors>
    <author>me</author>
  </authors>
  <commentList>
    <comment ref="D17" authorId="0" shapeId="0">
      <text>
        <r>
          <rPr>
            <b/>
            <sz val="8"/>
            <color indexed="81"/>
            <rFont val="Tahoma"/>
            <family val="2"/>
          </rPr>
          <t>bkg programmed in, based on cell K5</t>
        </r>
      </text>
    </comment>
  </commentList>
</comments>
</file>

<file path=xl/comments2.xml><?xml version="1.0" encoding="utf-8"?>
<comments xmlns="http://schemas.openxmlformats.org/spreadsheetml/2006/main">
  <authors>
    <author>melinda</author>
  </authors>
  <commentList>
    <comment ref="H3" authorId="0" shapeId="0">
      <text>
        <r>
          <rPr>
            <b/>
            <sz val="9"/>
            <color indexed="81"/>
            <rFont val="Tahoma"/>
            <charset val="1"/>
          </rPr>
          <t>the derived value for LV is 6%, but we may add~2% due to bkg variability</t>
        </r>
      </text>
    </comment>
    <comment ref="H19" authorId="0" shapeId="0">
      <text>
        <r>
          <rPr>
            <b/>
            <sz val="9"/>
            <color indexed="81"/>
            <rFont val="Tahoma"/>
            <charset val="1"/>
          </rPr>
          <t>the derived value for LV is 6%, but we may add~2% due to bkg variability</t>
        </r>
      </text>
    </comment>
  </commentList>
</comments>
</file>

<file path=xl/comments3.xml><?xml version="1.0" encoding="utf-8"?>
<comments xmlns="http://schemas.openxmlformats.org/spreadsheetml/2006/main">
  <authors>
    <author>melinda</author>
  </authors>
  <commentList>
    <comment ref="D12" authorId="0" shapeId="0">
      <text>
        <r>
          <rPr>
            <b/>
            <sz val="9"/>
            <color indexed="81"/>
            <rFont val="Tahoma"/>
            <family val="2"/>
          </rPr>
          <t>3 Lucas cells shipped from NAREL to calibrating chambers</t>
        </r>
      </text>
    </comment>
    <comment ref="F12" authorId="0" shapeId="0">
      <text>
        <r>
          <rPr>
            <b/>
            <sz val="9"/>
            <color indexed="81"/>
            <rFont val="Tahoma"/>
            <family val="2"/>
          </rPr>
          <t>The avg of 3 diminishes the uncertainty of this "known" concentration in the Lucas cells, counted by the calibrating chamber and used as their "known" against which to calibrate THEIR chamber.</t>
        </r>
      </text>
    </comment>
    <comment ref="C13" authorId="0" shapeId="0">
      <text>
        <r>
          <rPr>
            <b/>
            <sz val="9"/>
            <color indexed="81"/>
            <rFont val="Tahoma"/>
            <family val="2"/>
          </rPr>
          <t>The standard error of the difference between the counts of the 3 grabs made w Lucas cells of the calibrating chamber concentration; the LV chamber agreement between grabs showed an avg standard error of 3%.  Given the large number of counts esp if the calibrating chambers concentrations ~&gt;20 pCi/L, agreement in Phil's or Jim's may be less than 3%.</t>
        </r>
      </text>
    </comment>
    <comment ref="C14" authorId="0" shapeId="0">
      <text>
        <r>
          <rPr>
            <b/>
            <sz val="8"/>
            <color indexed="81"/>
            <rFont val="Tahoma"/>
            <family val="2"/>
          </rPr>
          <t xml:space="preserve">Since these are the same or similar cells, this assumes that the differences between them will be about the same as the differences between the 3 cells that were filled by NAREL and counted at the calibration chamber as shown in cell C13
</t>
        </r>
      </text>
    </comment>
    <comment ref="C17" authorId="0" shapeId="0">
      <text>
        <r>
          <rPr>
            <b/>
            <sz val="9"/>
            <color indexed="81"/>
            <rFont val="Tahoma"/>
            <family val="2"/>
          </rPr>
          <t xml:space="preserve">Agreement between the 2 SACs in LV chamber was 1.5%, and this assumes that Phil's will be similar
</t>
        </r>
      </text>
    </comment>
    <comment ref="C19" authorId="0" shapeId="0">
      <text>
        <r>
          <rPr>
            <b/>
            <sz val="9"/>
            <color indexed="81"/>
            <rFont val="Tahoma"/>
            <family val="2"/>
          </rPr>
          <t>estimates in cells C19 and C20 are based on calculations from LV data, but if concentrations are ~&gt;20 pCi/L results in Phil's chamber should be similar</t>
        </r>
      </text>
    </comment>
  </commentList>
</comments>
</file>

<file path=xl/sharedStrings.xml><?xml version="1.0" encoding="utf-8"?>
<sst xmlns="http://schemas.openxmlformats.org/spreadsheetml/2006/main" count="235" uniqueCount="155">
  <si>
    <t>Reference or source of estimate</t>
  </si>
  <si>
    <t>s, measured standardized, or % uncertainty)</t>
  </si>
  <si>
    <t>N</t>
  </si>
  <si>
    <r>
      <t>s</t>
    </r>
    <r>
      <rPr>
        <b/>
        <u/>
        <vertAlign val="superscript"/>
        <sz val="10"/>
        <color theme="1"/>
        <rFont val="Calibri"/>
        <family val="2"/>
        <scheme val="minor"/>
      </rPr>
      <t>2</t>
    </r>
  </si>
  <si>
    <t>sum</t>
  </si>
  <si>
    <t>s</t>
  </si>
  <si>
    <t>estimated uncertainty, 1 s</t>
  </si>
  <si>
    <t>Upper Limit of Systematic Errors</t>
  </si>
  <si>
    <t>n/a</t>
  </si>
  <si>
    <t>Volumetric transfer to Lucas cells</t>
  </si>
  <si>
    <t>scale calibration certificate</t>
  </si>
  <si>
    <t>manometer calibration certificate</t>
  </si>
  <si>
    <t>n/a****</t>
  </si>
  <si>
    <t>repeated flushing of laboratory standards (a)</t>
  </si>
  <si>
    <t>elapsed time resolution, 1 min/14 days</t>
  </si>
  <si>
    <t>calculation of fraction of remaining atoms based on vacuum of 30 mtorr (b)</t>
  </si>
  <si>
    <t>(below this row, no systematic errors measured or estimated)</t>
  </si>
  <si>
    <t>the square root of the sum of the squares of each component standard uncertainty plus each upper limit of systematic errors in rows above</t>
  </si>
  <si>
    <t>SAC counting error to generate the 2nd SAC's CF</t>
  </si>
  <si>
    <t>agreement between the set of the SACs for 1 chamber hour</t>
  </si>
  <si>
    <t>SUBTOTAL: estimated 1 sigma up to this point for one hour of chamber data from avg of 2 SACs</t>
  </si>
  <si>
    <t>**Report of Traceability from NIST shows agreement of -1.61% (1993)</t>
  </si>
  <si>
    <t>***I am inferring Paul used a parallel process of generating the bubblers to what he did when generating 2557-3 and 2557-4, which is to compare the volumetric transfer with gamma spectroscopy measurements of activity, then calculating specific activity based on the bubbler volume, so that is not 2 replicates but at least two assessments.  These values of one percent for imprecision and 1.5 percent for systematic errors are taken from 2557-3 which shows a standard error for imprecision of 1% and systematic error of 3%</t>
  </si>
  <si>
    <t>****digital prevents bias in recording value</t>
  </si>
  <si>
    <t>(a) repeated flushing of bubblers: if you repeat the exercise with a second set of five cells, as quickly as possible after the first set of five, you will get the same result.  This value was taken from the Swedes' study, but is so low it doesn’t make a difference.</t>
  </si>
  <si>
    <t xml:space="preserve">[do we have data we can use for this, where the cell CF generation exercise was repeated?  Or, can we use the volume </t>
  </si>
  <si>
    <t>represented by 30 millitorr of pressure in 0.36 liter?]</t>
  </si>
  <si>
    <t>(b) this is linearly related to pressure, but also did a calculation based on avogadro's number of 6.023e23 molecules in 22.4 liters at 1 atm, which yields</t>
  </si>
  <si>
    <t xml:space="preserve">2.7e19 molecules in one cc at one atm </t>
  </si>
  <si>
    <t>SRM 4964-B 226Ra standard bubbler solution</t>
  </si>
  <si>
    <t>NIST certificate</t>
  </si>
  <si>
    <t>cph/(pCi/L)</t>
  </si>
  <si>
    <t>pCi/L</t>
  </si>
  <si>
    <t>counts@1_hr</t>
  </si>
  <si>
    <t>counts@24_hr</t>
  </si>
  <si>
    <t>counts@48_hr</t>
  </si>
  <si>
    <t>STANDARD ERROR OF THE MEAN = s/sqrt(N)  which is estimate of s of the mean if N&gt;0</t>
  </si>
  <si>
    <t xml:space="preserve">48 hour counting error of one SAC </t>
  </si>
  <si>
    <t xml:space="preserve">48 hour counting error of the paired SAC </t>
  </si>
  <si>
    <t>agreement between the set of the SACs for 48 chamber hours</t>
  </si>
  <si>
    <t>for 48 hr chamber exposure</t>
  </si>
  <si>
    <t>(sqrt of counts)/counts</t>
  </si>
  <si>
    <t>stats</t>
  </si>
  <si>
    <t>ln stats</t>
  </si>
  <si>
    <t>count=</t>
  </si>
  <si>
    <t>ln of data</t>
  </si>
  <si>
    <t>geometric stnd deviation</t>
  </si>
  <si>
    <t>Device:</t>
  </si>
  <si>
    <t>AlphaGuard</t>
  </si>
  <si>
    <t>B</t>
  </si>
  <si>
    <t xml:space="preserve">A </t>
  </si>
  <si>
    <t>counts accrued for various exposure durations</t>
  </si>
  <si>
    <t>COUNTING of the 3 Lucas cells sent from NAREL filled with bubbler-generated concentration adds an uncertainty due to the difference between the 3 cells as counted by the calibration chamber</t>
  </si>
  <si>
    <r>
      <t xml:space="preserve">Blue cells show estimates of the uncertainty of the calibrating chamber's average concentration for 48 hour calibration exposure durations </t>
    </r>
    <r>
      <rPr>
        <b/>
        <i/>
        <u/>
        <sz val="10"/>
        <color theme="1"/>
        <rFont val="Calibri"/>
        <family val="2"/>
        <scheme val="minor"/>
      </rPr>
      <t>(please see comments explaining some tricky cells)</t>
    </r>
  </si>
  <si>
    <t>ESTIMATION OF THE UNCERTAINTY OF CALIBRATING CHAMBER'S AVG CONC FOR 48 HOUR EXPOSURE (green cells show the uncertainty in each Lucas cell filled by NAREL from the bubbler [the calibrating lab ships 3 cells to NAREL to get filled])</t>
  </si>
  <si>
    <t>Efficiency (aka CF or sensitivity)</t>
  </si>
  <si>
    <t>conc</t>
  </si>
  <si>
    <t>Resultant uncertainty in each CRM calibrated</t>
  </si>
  <si>
    <t>combining in quadrature cells in coumns G and J</t>
  </si>
  <si>
    <r>
      <t xml:space="preserve"> </t>
    </r>
    <r>
      <rPr>
        <b/>
        <u/>
        <sz val="10"/>
        <color theme="1"/>
        <rFont val="Calibri"/>
        <family val="2"/>
        <scheme val="minor"/>
      </rPr>
      <t>Component of Uncertainty</t>
    </r>
    <r>
      <rPr>
        <sz val="10"/>
        <color theme="1"/>
        <rFont val="Calibri"/>
        <family val="2"/>
        <scheme val="minor"/>
      </rPr>
      <t xml:space="preserve"> Rows 4-11 calculate the Primary Standard (NAREL's NIST SRM Ra226 in solution [bubbler]-generated Rn222 gas concentration; note that these values are all based on LV data and NAREL will be different, but not a lot greater, we hope.</t>
    </r>
  </si>
  <si>
    <t>Lucas Cell CF generation counting error (since the Lucas cells belong to the calibration lab that ships them to NAREL to be filled, these CFs will be calculated by the calibration lab prior to shipping them to NAREL, and are basically what will be calibrated by this process, then the "authority" of the NIST SRM is carried through via these cells (and thence traceable to) the actual calibration chamber concentration)</t>
  </si>
  <si>
    <t>counting error of CF generation process (these values based on LV cells counting ~25 pCi/L)</t>
  </si>
  <si>
    <r>
      <t xml:space="preserve">SUBTOTAL: cumulative error to this point in the concentration in </t>
    </r>
    <r>
      <rPr>
        <u/>
        <sz val="11"/>
        <color theme="1"/>
        <rFont val="Calibri"/>
        <family val="2"/>
        <scheme val="minor"/>
      </rPr>
      <t>each</t>
    </r>
    <r>
      <rPr>
        <sz val="11"/>
        <color theme="1"/>
        <rFont val="Calibri"/>
        <family val="2"/>
        <scheme val="minor"/>
      </rPr>
      <t xml:space="preserve"> of the NAREL-filled Lucas cells is shown in cell  I11</t>
    </r>
  </si>
  <si>
    <r>
      <t xml:space="preserve">LUCAS CELLS SENT FROM NAREL have estimated uncertainty in </t>
    </r>
    <r>
      <rPr>
        <u/>
        <sz val="11"/>
        <color theme="1"/>
        <rFont val="Calibri"/>
        <family val="2"/>
        <scheme val="minor"/>
      </rPr>
      <t>each</t>
    </r>
    <r>
      <rPr>
        <sz val="11"/>
        <color theme="1"/>
        <rFont val="Calibri"/>
        <family val="2"/>
        <scheme val="minor"/>
      </rPr>
      <t xml:space="preserve"> Lucas cell filled w bubbler, including counting error and other cumulative error to this point, in cell C12=I11, but because 3 Lucas cells are shipped from NAREL to Phil or Jim or other 2ndary chamber this is diminished by the sqrt of 3 to result in the uncertainty of the "known" from NAREL to be as shown in cell F12</t>
    </r>
  </si>
  <si>
    <r>
      <t xml:space="preserve">NOW, the CHAMBER MAKES 3 GRABS w the same LUCAS CELLS (which are theirs anyway as they shipped them to NAREL to get filled), and the uncertainty in the </t>
    </r>
    <r>
      <rPr>
        <u/>
        <sz val="11"/>
        <color theme="1"/>
        <rFont val="Calibri"/>
        <family val="2"/>
        <scheme val="minor"/>
      </rPr>
      <t>average</t>
    </r>
    <r>
      <rPr>
        <sz val="11"/>
        <color theme="1"/>
        <rFont val="Calibri"/>
        <family val="2"/>
        <scheme val="minor"/>
      </rPr>
      <t xml:space="preserve"> of these 3 Lucas cell chamber grabs is used to calibrate the chamber conc. by comparing this average to their counts from the cells as filled by NAREL with the "known" bubbler-generated concentration.  (Note that is row contributes uncertainty based only on the agreement between the 3 chamber grabs and not including the cumulative error shown in cell F12 which is the uncertainty in the "known" conc based on the average of 3 cells as filled by NAREL, which gets carried though the process.)</t>
    </r>
  </si>
  <si>
    <t>Phil's chamber uses 2 large flow through scint cells called SACs (as did LV), and each SAC's counting error of the hour when the grab was made, and used generate each SAC's CF (based on 1 hour counting error; 3% is high estimate) is shown in cell C15 as the standard error</t>
  </si>
  <si>
    <t>cpm</t>
  </si>
  <si>
    <t>cph</t>
  </si>
  <si>
    <t>femto</t>
  </si>
  <si>
    <t>AG</t>
  </si>
  <si>
    <t>Sun Nuclear 1029 CRM</t>
  </si>
  <si>
    <t>1030 Radon Sentinel</t>
  </si>
  <si>
    <t>http://www.nrsb.org/images/file/NRSB%20Devices%20Ltg.pdf</t>
  </si>
  <si>
    <t>http://www.ludlums.com/component/virtuemart/equipment-type-3/sample-counting-21/general-purpose-scaler-34-detail?Itemid=0</t>
  </si>
  <si>
    <t>http://www.ludlums.com/multisites/medphys/images/stories/product_manuals/M2000.pdf</t>
  </si>
  <si>
    <t>http://ludlums.com/images/stories/data_sheets/M2000.pdf</t>
  </si>
  <si>
    <t>RADALINK Radon Telemonitor</t>
  </si>
  <si>
    <t>from online device descriptions, per pCi/L:</t>
  </si>
  <si>
    <t>Sun Nuclear 1028 CRM</t>
  </si>
  <si>
    <t>Bq m3</t>
  </si>
  <si>
    <t>0.05 cpm per Bq/m3</t>
  </si>
  <si>
    <t>value</t>
  </si>
  <si>
    <t>so in terms of cph</t>
  </si>
  <si>
    <t>=SQRT(H4*H4+G4*G4)</t>
  </si>
  <si>
    <t>'=C4+(SQRT(H4*H4+G4*G4)+J14)*C4</t>
  </si>
  <si>
    <t>AG: 5 cpm at 100 Bq/m³</t>
  </si>
  <si>
    <t>5 cpm at 100 Bq/m³ (3 pCi/l)</t>
  </si>
  <si>
    <t xml:space="preserve">femto </t>
  </si>
  <si>
    <t>Sun Nuclear 1027</t>
  </si>
  <si>
    <t>from Andy George's sheet in cpm/4 pCi/L:</t>
  </si>
  <si>
    <t>Rad 7</t>
  </si>
  <si>
    <t>cpm/pCi/L</t>
  </si>
  <si>
    <t>cph/pCi/L</t>
  </si>
  <si>
    <t>old AG</t>
  </si>
  <si>
    <t>cph@zero-air</t>
  </si>
  <si>
    <t>CALIBRATION LAB optimal counting times:</t>
  </si>
  <si>
    <t>MITIGATION DECISION optimal counting times:</t>
  </si>
  <si>
    <t>chamber pCi/L</t>
  </si>
  <si>
    <t>R(gross)CAL</t>
  </si>
  <si>
    <t>hours_CAL</t>
  </si>
  <si>
    <t>ratio of calib chamber count rate/bkg count rate</t>
  </si>
  <si>
    <t>opt-hours-bkg:</t>
  </si>
  <si>
    <t>(all units in hours and pCi/L)</t>
  </si>
  <si>
    <t>unit</t>
  </si>
  <si>
    <t>indoor pCi/L</t>
  </si>
  <si>
    <t>hours_TEST</t>
  </si>
  <si>
    <t>cph@zero-air, or R(bkg)</t>
  </si>
  <si>
    <t>hours@zero-air</t>
  </si>
  <si>
    <t>hours bkg=hours TEST</t>
  </si>
  <si>
    <t>ratio of indoor test count rate/bkg count rate</t>
  </si>
  <si>
    <r>
      <t>lower bound of 1-sided CI</t>
    </r>
    <r>
      <rPr>
        <b/>
        <sz val="8"/>
        <color theme="1"/>
        <rFont val="Calibri"/>
        <family val="2"/>
        <scheme val="minor"/>
      </rPr>
      <t xml:space="preserve"> (48 hr) at 84% confidence</t>
    </r>
  </si>
  <si>
    <r>
      <t xml:space="preserve">upper bound of 1-sided CI </t>
    </r>
    <r>
      <rPr>
        <b/>
        <sz val="8"/>
        <color theme="1"/>
        <rFont val="Calibri"/>
        <family val="2"/>
        <scheme val="minor"/>
      </rPr>
      <t>(48 hr) at 84% confidence</t>
    </r>
  </si>
  <si>
    <t>(one-sided interval so only concerned with lower limit at minus 1 standard error)</t>
  </si>
  <si>
    <t>Rg</t>
  </si>
  <si>
    <t>Rb</t>
  </si>
  <si>
    <t>cpm/25 pCi/L</t>
  </si>
  <si>
    <t>pp 190-191 of Radiotracer Methodology in Biological Science, Wang and Willis, thanks Dr. Jenkins!</t>
  </si>
  <si>
    <t>Based on the estimate in UncertaintyIn2ndaryChamber! Sheet, plus 2% to allow chambers some leeway</t>
  </si>
  <si>
    <t>1-sigma uncertainty of the STAR's avg concentration during 48 hrs</t>
  </si>
  <si>
    <t xml:space="preserve">Sun Nuclear 1028 </t>
  </si>
  <si>
    <t xml:space="preserve">Sun Nuclear 1029 </t>
  </si>
  <si>
    <t>Change the values in the beige cells, to see the impact of different efficiencies in column B, and change the concentration in the calibrating chamber in column C, to see the impact on the confidence limits of actual field measurements as shown in the yellow columns</t>
  </si>
  <si>
    <t>CF=</t>
  </si>
  <si>
    <t>enter the concentration in pCi/L</t>
  </si>
  <si>
    <t>pCi/L=</t>
  </si>
  <si>
    <t>StndError=</t>
  </si>
  <si>
    <t>Hours=</t>
  </si>
  <si>
    <t>hours exposure needed to produce this standard error in the CRM's counts</t>
  </si>
  <si>
    <t>enter the standard error of counts [e.g., enter 0.10 for the ten percent standard error associated with 100 counts]</t>
  </si>
  <si>
    <t>DURATION CALCULATIONS:</t>
  </si>
  <si>
    <t>femto programmable bkg=</t>
  </si>
  <si>
    <t>CALIBRATION CHAMBER UNCERTAINTY FOR AVERAGE CONCENTRATION DURING EXPOSURE:</t>
  </si>
  <si>
    <t>enter the CRM's calibration factor in cph per pCi/L [e.g., SunNuclear 1028 cites 2.5 cph/(pCi/L) in literature]</t>
  </si>
  <si>
    <t>maximum chamber uncertainty we specify:</t>
  </si>
  <si>
    <t>calibration chamber standard error=</t>
  </si>
  <si>
    <t>RESULTING CRM UNCERTAINTY COMING OUT OF CALIBRATION:</t>
  </si>
  <si>
    <r>
      <t xml:space="preserve">(routine calibration chamber uncertainties including all sources of error, not just counting stats, and LV chamber's published uncertainties for 48 hours was about 6% uncertainty, noting that </t>
    </r>
    <r>
      <rPr>
        <u/>
        <sz val="8"/>
        <color theme="1"/>
        <rFont val="Calibri"/>
        <family val="2"/>
        <scheme val="minor"/>
      </rPr>
      <t>counting error is NOT the largest error component for chambers</t>
    </r>
    <r>
      <rPr>
        <sz val="8"/>
        <color theme="1"/>
        <rFont val="Calibri"/>
        <family val="2"/>
        <scheme val="minor"/>
      </rPr>
      <t>)</t>
    </r>
  </si>
  <si>
    <t>(enter values in green cells to see yellow cell values change)</t>
  </si>
  <si>
    <t>confidence intervals on the actual field measurement at this concentration and with the CRM uncertainty in column I</t>
  </si>
  <si>
    <t>Our goal is a limit of about 12% total uncertainty of a CRM coming out of calibration, because this results in the ability to distinguish between 3.5 and 4 pCi/L for 48-hour measurements, and be correct approximately 84% (1-sigma, 1-tailed) of the time, which requires an approximately 12% 1-sigma total uncertainty at 4 pCi/L.</t>
  </si>
  <si>
    <t>48-hour CRM's counting uncertainty at this concentration</t>
  </si>
  <si>
    <t>24-hour CRM's counting uncertainty at this concentration</t>
  </si>
  <si>
    <t>tot counts=</t>
  </si>
  <si>
    <r>
      <t xml:space="preserve">(enter values in </t>
    </r>
    <r>
      <rPr>
        <b/>
        <sz val="12"/>
        <color theme="9"/>
        <rFont val="Calibri"/>
        <family val="2"/>
        <scheme val="minor"/>
      </rPr>
      <t>green</t>
    </r>
    <r>
      <rPr>
        <sz val="11"/>
        <color theme="1"/>
        <rFont val="Calibri"/>
        <family val="2"/>
        <scheme val="minor"/>
      </rPr>
      <t xml:space="preserve"> cells to see yellow cell values change)</t>
    </r>
  </si>
  <si>
    <t>RPD</t>
  </si>
  <si>
    <t>COV</t>
  </si>
  <si>
    <t>limits are 36% and 67% RPE and RPD</t>
  </si>
  <si>
    <t>CROSSCHECKS</t>
  </si>
  <si>
    <t>RPE/COV=sqrt(2)</t>
  </si>
  <si>
    <t>QC CHECKS (DUPLICATES)</t>
  </si>
  <si>
    <t>CRM1</t>
  </si>
  <si>
    <t>CRM2</t>
  </si>
  <si>
    <t>RPE</t>
  </si>
  <si>
    <t>based on in control of:</t>
  </si>
  <si>
    <t xml:space="preserve"> upper bound on BIAS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</si>
</sst>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
    <numFmt numFmtId="166" formatCode="0.0%"/>
    <numFmt numFmtId="167" formatCode="0.0000%"/>
    <numFmt numFmtId="168" formatCode="0.000%"/>
  </numFmts>
  <fonts count="29" x14ac:knownFonts="1">
    <font>
      <sz val="11"/>
      <color theme="1"/>
      <name val="Calibri"/>
      <family val="2"/>
      <scheme val="minor"/>
    </font>
    <font>
      <b/>
      <sz val="11"/>
      <color theme="1"/>
      <name val="Calibri"/>
      <family val="2"/>
      <scheme val="minor"/>
    </font>
    <font>
      <b/>
      <u/>
      <sz val="10"/>
      <color theme="1"/>
      <name val="Calibri"/>
      <family val="2"/>
      <scheme val="minor"/>
    </font>
    <font>
      <b/>
      <u/>
      <sz val="10"/>
      <name val="Calibri"/>
      <family val="2"/>
      <scheme val="minor"/>
    </font>
    <font>
      <b/>
      <u/>
      <vertAlign val="superscript"/>
      <sz val="10"/>
      <color theme="1"/>
      <name val="Calibri"/>
      <family val="2"/>
      <scheme val="minor"/>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9"/>
      <color indexed="81"/>
      <name val="Tahoma"/>
      <family val="2"/>
    </font>
    <font>
      <b/>
      <sz val="8"/>
      <color indexed="81"/>
      <name val="Tahoma"/>
      <family val="2"/>
    </font>
    <font>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11"/>
      <color rgb="FF002060"/>
      <name val="Calibri"/>
      <family val="2"/>
      <scheme val="minor"/>
    </font>
    <font>
      <b/>
      <i/>
      <u/>
      <sz val="10"/>
      <color theme="1"/>
      <name val="Calibri"/>
      <family val="2"/>
      <scheme val="minor"/>
    </font>
    <font>
      <sz val="11"/>
      <color rgb="FF002060"/>
      <name val="Calibri"/>
      <family val="2"/>
      <scheme val="minor"/>
    </font>
    <font>
      <b/>
      <sz val="8"/>
      <color rgb="FFC00000"/>
      <name val="Calibri"/>
      <family val="2"/>
      <scheme val="minor"/>
    </font>
    <font>
      <b/>
      <sz val="11"/>
      <color rgb="FFFF0000"/>
      <name val="Calibri"/>
      <family val="2"/>
      <scheme val="minor"/>
    </font>
    <font>
      <b/>
      <sz val="8"/>
      <color theme="1"/>
      <name val="Calibri"/>
      <family val="2"/>
      <scheme val="minor"/>
    </font>
    <font>
      <b/>
      <sz val="9"/>
      <color indexed="81"/>
      <name val="Tahoma"/>
      <charset val="1"/>
    </font>
    <font>
      <b/>
      <sz val="11"/>
      <color rgb="FFC00000"/>
      <name val="Calibri"/>
      <family val="2"/>
      <scheme val="minor"/>
    </font>
    <font>
      <b/>
      <sz val="8"/>
      <color rgb="FF000000"/>
      <name val="Calibri"/>
      <family val="2"/>
      <scheme val="minor"/>
    </font>
    <font>
      <b/>
      <u/>
      <sz val="11"/>
      <color theme="1"/>
      <name val="Calibri"/>
      <family val="2"/>
      <scheme val="minor"/>
    </font>
    <font>
      <sz val="9"/>
      <color theme="1"/>
      <name val="Calibri"/>
      <family val="2"/>
      <scheme val="minor"/>
    </font>
    <font>
      <u/>
      <sz val="8"/>
      <color theme="1"/>
      <name val="Calibri"/>
      <family val="2"/>
      <scheme val="minor"/>
    </font>
    <font>
      <sz val="8"/>
      <name val="Calibri"/>
      <family val="2"/>
      <scheme val="minor"/>
    </font>
    <font>
      <b/>
      <sz val="12"/>
      <color theme="9"/>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1"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163">
    <xf numFmtId="0" fontId="0" fillId="0" borderId="0" xfId="0"/>
    <xf numFmtId="0" fontId="2" fillId="0" borderId="0" xfId="0" applyFont="1" applyAlignment="1">
      <alignment horizontal="center" wrapText="1"/>
    </xf>
    <xf numFmtId="0" fontId="3" fillId="0" borderId="0" xfId="0" applyFont="1" applyFill="1" applyAlignment="1">
      <alignment horizontal="center" wrapText="1"/>
    </xf>
    <xf numFmtId="0" fontId="0" fillId="0" borderId="0" xfId="0" applyFill="1"/>
    <xf numFmtId="0" fontId="0" fillId="2" borderId="0" xfId="0" applyFill="1"/>
    <xf numFmtId="166" fontId="0" fillId="0" borderId="0" xfId="0" applyNumberFormat="1"/>
    <xf numFmtId="0" fontId="0" fillId="3" borderId="0" xfId="0" applyFill="1"/>
    <xf numFmtId="0" fontId="0" fillId="4" borderId="2" xfId="0" applyFill="1" applyBorder="1" applyAlignment="1">
      <alignment vertical="top" wrapText="1"/>
    </xf>
    <xf numFmtId="0" fontId="0" fillId="4" borderId="3" xfId="0" applyFill="1" applyBorder="1" applyAlignment="1">
      <alignment vertical="top" wrapText="1"/>
    </xf>
    <xf numFmtId="0" fontId="0" fillId="4" borderId="3" xfId="0" applyFill="1" applyBorder="1"/>
    <xf numFmtId="0" fontId="0" fillId="4" borderId="3" xfId="0" applyFill="1" applyBorder="1" applyAlignment="1">
      <alignment horizontal="center"/>
    </xf>
    <xf numFmtId="0" fontId="0" fillId="4" borderId="4" xfId="0" applyFill="1" applyBorder="1"/>
    <xf numFmtId="0" fontId="0" fillId="4" borderId="5" xfId="0" applyFill="1" applyBorder="1" applyAlignment="1">
      <alignment vertical="top" wrapText="1"/>
    </xf>
    <xf numFmtId="0" fontId="0" fillId="4" borderId="6" xfId="0" applyFill="1" applyBorder="1" applyAlignment="1">
      <alignment vertical="top" wrapText="1"/>
    </xf>
    <xf numFmtId="0" fontId="0" fillId="4" borderId="6" xfId="0" applyFill="1" applyBorder="1"/>
    <xf numFmtId="0" fontId="0" fillId="4" borderId="6" xfId="0" applyFill="1" applyBorder="1" applyAlignment="1">
      <alignment horizontal="center"/>
    </xf>
    <xf numFmtId="0" fontId="0" fillId="4" borderId="7" xfId="0" applyFill="1" applyBorder="1"/>
    <xf numFmtId="0" fontId="0" fillId="4" borderId="5" xfId="0" applyFill="1" applyBorder="1"/>
    <xf numFmtId="11" fontId="0" fillId="4" borderId="6" xfId="0" applyNumberFormat="1" applyFill="1" applyBorder="1"/>
    <xf numFmtId="10" fontId="0" fillId="4" borderId="6" xfId="0" applyNumberFormat="1" applyFill="1" applyBorder="1"/>
    <xf numFmtId="0" fontId="5" fillId="4" borderId="7" xfId="0" applyFont="1" applyFill="1" applyBorder="1"/>
    <xf numFmtId="0" fontId="0" fillId="4" borderId="8" xfId="0" applyFill="1" applyBorder="1" applyAlignment="1">
      <alignment wrapText="1"/>
    </xf>
    <xf numFmtId="0" fontId="0" fillId="4" borderId="9" xfId="0" applyFill="1" applyBorder="1" applyAlignment="1">
      <alignment vertical="top" wrapText="1"/>
    </xf>
    <xf numFmtId="0" fontId="0" fillId="4" borderId="9" xfId="0" applyFill="1" applyBorder="1"/>
    <xf numFmtId="0" fontId="0" fillId="4" borderId="9" xfId="0" applyFill="1" applyBorder="1" applyAlignment="1">
      <alignment horizontal="center"/>
    </xf>
    <xf numFmtId="11" fontId="0" fillId="4" borderId="9" xfId="0" applyNumberFormat="1" applyFill="1" applyBorder="1"/>
    <xf numFmtId="10" fontId="1" fillId="4" borderId="9" xfId="0" applyNumberFormat="1" applyFont="1" applyFill="1" applyBorder="1"/>
    <xf numFmtId="0" fontId="0" fillId="4" borderId="10" xfId="0" applyFill="1" applyBorder="1"/>
    <xf numFmtId="0" fontId="13" fillId="0" borderId="0" xfId="0" applyFont="1" applyAlignment="1">
      <alignment horizontal="center" wrapText="1"/>
    </xf>
    <xf numFmtId="0" fontId="0" fillId="5" borderId="0" xfId="0" applyFill="1"/>
    <xf numFmtId="0" fontId="14" fillId="0" borderId="0" xfId="0" applyFont="1"/>
    <xf numFmtId="0" fontId="0" fillId="6" borderId="0" xfId="0" applyFill="1"/>
    <xf numFmtId="0" fontId="0" fillId="6" borderId="11" xfId="0" applyFill="1" applyBorder="1" applyAlignment="1">
      <alignment vertical="top" wrapText="1"/>
    </xf>
    <xf numFmtId="164" fontId="7" fillId="6" borderId="3" xfId="0" applyNumberFormat="1" applyFont="1" applyFill="1" applyBorder="1"/>
    <xf numFmtId="11" fontId="0" fillId="6" borderId="3" xfId="0" applyNumberFormat="1" applyFill="1" applyBorder="1"/>
    <xf numFmtId="0" fontId="0" fillId="6" borderId="3" xfId="0" applyFill="1" applyBorder="1"/>
    <xf numFmtId="10" fontId="0" fillId="6" borderId="3" xfId="0" applyNumberFormat="1" applyFill="1" applyBorder="1"/>
    <xf numFmtId="0" fontId="0" fillId="6" borderId="12" xfId="0" applyFill="1" applyBorder="1"/>
    <xf numFmtId="0" fontId="0" fillId="6" borderId="13" xfId="0" applyFill="1" applyBorder="1" applyAlignment="1">
      <alignment wrapText="1"/>
    </xf>
    <xf numFmtId="0" fontId="0" fillId="6" borderId="6" xfId="0" applyFill="1" applyBorder="1" applyAlignment="1">
      <alignment vertical="top" wrapText="1"/>
    </xf>
    <xf numFmtId="0" fontId="0" fillId="6" borderId="6" xfId="0" applyFill="1" applyBorder="1" applyAlignment="1">
      <alignment horizontal="center"/>
    </xf>
    <xf numFmtId="164" fontId="7" fillId="6" borderId="6" xfId="0" applyNumberFormat="1" applyFont="1" applyFill="1" applyBorder="1"/>
    <xf numFmtId="11" fontId="0" fillId="6" borderId="6" xfId="0" applyNumberFormat="1" applyFill="1" applyBorder="1"/>
    <xf numFmtId="0" fontId="0" fillId="6" borderId="6" xfId="0" applyFill="1" applyBorder="1"/>
    <xf numFmtId="0" fontId="0" fillId="6" borderId="14" xfId="0" applyFill="1" applyBorder="1"/>
    <xf numFmtId="0" fontId="0" fillId="6" borderId="13" xfId="0" applyFill="1" applyBorder="1" applyAlignment="1">
      <alignment vertical="top" wrapText="1"/>
    </xf>
    <xf numFmtId="164" fontId="0" fillId="6" borderId="6" xfId="0" applyNumberFormat="1" applyFill="1" applyBorder="1"/>
    <xf numFmtId="0" fontId="1" fillId="6" borderId="13" xfId="0" applyFont="1" applyFill="1" applyBorder="1"/>
    <xf numFmtId="164" fontId="1" fillId="6" borderId="6" xfId="0" applyNumberFormat="1" applyFont="1" applyFill="1" applyBorder="1"/>
    <xf numFmtId="0" fontId="0" fillId="6" borderId="13" xfId="0" applyFill="1" applyBorder="1"/>
    <xf numFmtId="10" fontId="0" fillId="6" borderId="6" xfId="0" applyNumberFormat="1" applyFill="1" applyBorder="1"/>
    <xf numFmtId="0" fontId="8" fillId="6" borderId="15" xfId="0" applyFont="1" applyFill="1" applyBorder="1"/>
    <xf numFmtId="0" fontId="0" fillId="6" borderId="16" xfId="0" applyFill="1" applyBorder="1"/>
    <xf numFmtId="164" fontId="0" fillId="6" borderId="16" xfId="0" applyNumberFormat="1" applyFill="1" applyBorder="1"/>
    <xf numFmtId="0" fontId="0" fillId="6" borderId="16" xfId="0" applyFill="1" applyBorder="1" applyAlignment="1">
      <alignment horizontal="center"/>
    </xf>
    <xf numFmtId="11" fontId="0" fillId="6" borderId="16" xfId="0" applyNumberFormat="1" applyFill="1" applyBorder="1"/>
    <xf numFmtId="10" fontId="15" fillId="6" borderId="17" xfId="0" applyNumberFormat="1" applyFont="1" applyFill="1" applyBorder="1"/>
    <xf numFmtId="0" fontId="15" fillId="6" borderId="18" xfId="0" applyFont="1" applyFill="1" applyBorder="1"/>
    <xf numFmtId="0" fontId="0" fillId="6" borderId="12" xfId="0" applyFill="1" applyBorder="1" applyAlignment="1">
      <alignment vertical="top" wrapText="1"/>
    </xf>
    <xf numFmtId="0" fontId="0" fillId="6" borderId="11" xfId="0" applyFill="1" applyBorder="1" applyAlignment="1">
      <alignment horizontal="center"/>
    </xf>
    <xf numFmtId="0" fontId="0" fillId="4" borderId="16" xfId="0" applyFill="1" applyBorder="1"/>
    <xf numFmtId="10" fontId="1" fillId="6" borderId="1" xfId="0" applyNumberFormat="1" applyFont="1" applyFill="1" applyBorder="1"/>
    <xf numFmtId="0" fontId="12" fillId="6" borderId="0" xfId="0" applyFont="1" applyFill="1"/>
    <xf numFmtId="164" fontId="17" fillId="6" borderId="19" xfId="0" applyNumberFormat="1" applyFont="1" applyFill="1" applyBorder="1"/>
    <xf numFmtId="164" fontId="17" fillId="6" borderId="6" xfId="0" applyNumberFormat="1" applyFont="1" applyFill="1" applyBorder="1"/>
    <xf numFmtId="0" fontId="17" fillId="6" borderId="13" xfId="0" applyFont="1" applyFill="1" applyBorder="1"/>
    <xf numFmtId="0" fontId="0" fillId="6" borderId="20" xfId="0" applyFill="1" applyBorder="1" applyAlignment="1">
      <alignment vertical="top" wrapText="1"/>
    </xf>
    <xf numFmtId="0" fontId="0" fillId="6" borderId="21" xfId="0" applyFill="1" applyBorder="1" applyAlignment="1">
      <alignment vertical="top" wrapText="1"/>
    </xf>
    <xf numFmtId="0" fontId="0" fillId="6" borderId="20" xfId="0" applyFill="1" applyBorder="1" applyAlignment="1">
      <alignment horizontal="center"/>
    </xf>
    <xf numFmtId="0" fontId="0" fillId="6" borderId="19" xfId="0" applyFill="1" applyBorder="1"/>
    <xf numFmtId="10" fontId="0" fillId="6" borderId="19" xfId="0" applyNumberFormat="1" applyFill="1" applyBorder="1"/>
    <xf numFmtId="0" fontId="0" fillId="6" borderId="21" xfId="0" applyFill="1" applyBorder="1"/>
    <xf numFmtId="167" fontId="1" fillId="6" borderId="1" xfId="0" applyNumberFormat="1" applyFont="1" applyFill="1" applyBorder="1"/>
    <xf numFmtId="0" fontId="14" fillId="0" borderId="27" xfId="0" applyFont="1" applyBorder="1"/>
    <xf numFmtId="0" fontId="0" fillId="0" borderId="27" xfId="0" applyBorder="1"/>
    <xf numFmtId="0" fontId="0" fillId="0" borderId="28" xfId="0" applyBorder="1"/>
    <xf numFmtId="0" fontId="0" fillId="0" borderId="29" xfId="0" applyBorder="1"/>
    <xf numFmtId="0" fontId="14" fillId="0" borderId="31" xfId="0" applyFont="1" applyBorder="1"/>
    <xf numFmtId="166" fontId="0" fillId="0" borderId="31" xfId="0" applyNumberFormat="1" applyBorder="1"/>
    <xf numFmtId="166" fontId="0" fillId="0" borderId="32" xfId="0" applyNumberFormat="1" applyBorder="1"/>
    <xf numFmtId="0" fontId="0" fillId="0" borderId="31" xfId="0" applyFill="1" applyBorder="1"/>
    <xf numFmtId="0" fontId="0" fillId="0" borderId="0" xfId="0" applyAlignment="1">
      <alignment horizontal="left"/>
    </xf>
    <xf numFmtId="0" fontId="14" fillId="0" borderId="30" xfId="0" applyFont="1" applyBorder="1" applyAlignment="1">
      <alignment wrapText="1"/>
    </xf>
    <xf numFmtId="0" fontId="14" fillId="0" borderId="30" xfId="0" applyFont="1" applyBorder="1" applyAlignment="1">
      <alignment horizontal="center" wrapText="1"/>
    </xf>
    <xf numFmtId="0" fontId="14" fillId="0" borderId="30"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4" borderId="6" xfId="0" applyFill="1" applyBorder="1" applyAlignment="1">
      <alignment wrapText="1"/>
    </xf>
    <xf numFmtId="0" fontId="0" fillId="4" borderId="5" xfId="0" applyFill="1" applyBorder="1" applyAlignment="1">
      <alignment wrapText="1"/>
    </xf>
    <xf numFmtId="11" fontId="0" fillId="0" borderId="0" xfId="1" applyNumberFormat="1" applyFont="1" applyFill="1"/>
    <xf numFmtId="0" fontId="18" fillId="0" borderId="0" xfId="0" applyFont="1" applyFill="1"/>
    <xf numFmtId="0" fontId="14" fillId="0" borderId="31" xfId="0" applyFont="1" applyFill="1" applyBorder="1" applyAlignment="1">
      <alignment horizontal="center" wrapText="1"/>
    </xf>
    <xf numFmtId="0" fontId="14" fillId="2" borderId="22" xfId="0" applyFont="1" applyFill="1" applyBorder="1" applyAlignment="1">
      <alignment horizontal="center" wrapText="1"/>
    </xf>
    <xf numFmtId="0" fontId="0" fillId="0" borderId="0" xfId="0" applyFont="1"/>
    <xf numFmtId="0" fontId="0" fillId="0" borderId="0" xfId="0" applyFont="1" applyAlignment="1"/>
    <xf numFmtId="0" fontId="0" fillId="0" borderId="0" xfId="0" quotePrefix="1"/>
    <xf numFmtId="165" fontId="0" fillId="0" borderId="26" xfId="0" applyNumberFormat="1" applyFill="1" applyBorder="1"/>
    <xf numFmtId="0" fontId="19" fillId="0" borderId="0" xfId="0" applyFont="1"/>
    <xf numFmtId="0" fontId="19" fillId="0" borderId="27" xfId="0" applyFont="1" applyBorder="1"/>
    <xf numFmtId="166" fontId="19" fillId="0" borderId="31" xfId="0" applyNumberFormat="1" applyFont="1" applyBorder="1"/>
    <xf numFmtId="0" fontId="14" fillId="0" borderId="22" xfId="0" applyFont="1" applyFill="1" applyBorder="1" applyAlignment="1">
      <alignment horizontal="center" wrapText="1"/>
    </xf>
    <xf numFmtId="9" fontId="0" fillId="0" borderId="31" xfId="0" applyNumberFormat="1" applyFill="1" applyBorder="1"/>
    <xf numFmtId="9" fontId="19" fillId="0" borderId="31" xfId="0" applyNumberFormat="1" applyFont="1" applyFill="1" applyBorder="1"/>
    <xf numFmtId="9" fontId="0" fillId="0" borderId="32" xfId="0" applyNumberFormat="1" applyFill="1" applyBorder="1"/>
    <xf numFmtId="0" fontId="6" fillId="0" borderId="0" xfId="0" applyFont="1"/>
    <xf numFmtId="1" fontId="22" fillId="0" borderId="0" xfId="0" applyNumberFormat="1" applyFont="1"/>
    <xf numFmtId="165" fontId="0" fillId="2" borderId="22" xfId="0" applyNumberFormat="1" applyFill="1" applyBorder="1"/>
    <xf numFmtId="165" fontId="19" fillId="2" borderId="22" xfId="0" applyNumberFormat="1" applyFont="1" applyFill="1" applyBorder="1"/>
    <xf numFmtId="1" fontId="22" fillId="2" borderId="0" xfId="0" applyNumberFormat="1" applyFont="1" applyFill="1"/>
    <xf numFmtId="0" fontId="14" fillId="0" borderId="0" xfId="0" applyFont="1" applyAlignment="1">
      <alignment horizontal="center" wrapText="1"/>
    </xf>
    <xf numFmtId="0" fontId="14" fillId="6" borderId="22" xfId="0" applyFont="1" applyFill="1" applyBorder="1" applyAlignment="1">
      <alignment horizontal="center" wrapText="1"/>
    </xf>
    <xf numFmtId="0" fontId="14" fillId="6" borderId="22" xfId="0" applyFont="1" applyFill="1" applyBorder="1"/>
    <xf numFmtId="1" fontId="22" fillId="0" borderId="28" xfId="0" applyNumberFormat="1" applyFont="1" applyBorder="1"/>
    <xf numFmtId="0" fontId="0" fillId="0" borderId="35" xfId="0" applyBorder="1"/>
    <xf numFmtId="0" fontId="0" fillId="0" borderId="22" xfId="0" applyFill="1" applyBorder="1"/>
    <xf numFmtId="1" fontId="22" fillId="0" borderId="35" xfId="0" applyNumberFormat="1" applyFont="1" applyBorder="1"/>
    <xf numFmtId="1" fontId="0" fillId="0" borderId="28" xfId="0" applyNumberFormat="1" applyBorder="1"/>
    <xf numFmtId="1" fontId="0" fillId="0" borderId="35" xfId="0" applyNumberFormat="1" applyBorder="1"/>
    <xf numFmtId="0" fontId="23" fillId="0" borderId="0" xfId="0" applyFont="1"/>
    <xf numFmtId="0" fontId="0" fillId="7" borderId="28" xfId="0" applyFill="1" applyBorder="1"/>
    <xf numFmtId="0" fontId="0" fillId="7" borderId="22" xfId="0" applyFill="1" applyBorder="1"/>
    <xf numFmtId="0" fontId="0" fillId="7" borderId="35" xfId="0" applyFill="1" applyBorder="1"/>
    <xf numFmtId="0" fontId="0" fillId="7" borderId="0" xfId="0" applyFill="1"/>
    <xf numFmtId="0" fontId="0" fillId="7" borderId="31" xfId="0" applyFill="1" applyBorder="1"/>
    <xf numFmtId="0" fontId="19" fillId="7" borderId="31" xfId="0" applyFont="1" applyFill="1" applyBorder="1"/>
    <xf numFmtId="0" fontId="19" fillId="7" borderId="0" xfId="0" applyFont="1" applyFill="1"/>
    <xf numFmtId="0" fontId="0" fillId="7" borderId="32" xfId="0" applyFill="1" applyBorder="1"/>
    <xf numFmtId="0" fontId="14" fillId="8" borderId="22" xfId="0" applyFont="1" applyFill="1" applyBorder="1"/>
    <xf numFmtId="0" fontId="14" fillId="8" borderId="33" xfId="0" applyFont="1" applyFill="1" applyBorder="1"/>
    <xf numFmtId="0" fontId="0" fillId="0" borderId="32" xfId="0" applyFill="1" applyBorder="1"/>
    <xf numFmtId="0" fontId="0" fillId="3" borderId="22" xfId="0" applyFill="1" applyBorder="1"/>
    <xf numFmtId="0" fontId="24" fillId="0" borderId="0" xfId="0" applyFont="1"/>
    <xf numFmtId="0" fontId="13" fillId="0" borderId="0" xfId="0" applyFont="1" applyAlignment="1">
      <alignment wrapText="1"/>
    </xf>
    <xf numFmtId="1" fontId="19" fillId="2" borderId="0" xfId="0" applyNumberFormat="1" applyFont="1" applyFill="1"/>
    <xf numFmtId="2" fontId="19" fillId="2" borderId="0" xfId="0" applyNumberFormat="1" applyFont="1" applyFill="1"/>
    <xf numFmtId="0" fontId="27" fillId="9" borderId="26" xfId="0" applyFont="1" applyFill="1" applyBorder="1"/>
    <xf numFmtId="0" fontId="27" fillId="9" borderId="0" xfId="0" applyFont="1" applyFill="1" applyBorder="1"/>
    <xf numFmtId="0" fontId="7" fillId="9" borderId="26" xfId="0" applyFont="1" applyFill="1" applyBorder="1"/>
    <xf numFmtId="0" fontId="7" fillId="9" borderId="0" xfId="0" applyFont="1" applyFill="1" applyBorder="1"/>
    <xf numFmtId="0" fontId="8" fillId="9" borderId="26" xfId="0" applyFont="1" applyFill="1" applyBorder="1"/>
    <xf numFmtId="0" fontId="8" fillId="9" borderId="0" xfId="0" applyFont="1" applyFill="1" applyBorder="1"/>
    <xf numFmtId="0" fontId="7" fillId="9" borderId="28" xfId="0" applyFont="1" applyFill="1" applyBorder="1"/>
    <xf numFmtId="0" fontId="27" fillId="9" borderId="27" xfId="0" applyFont="1" applyFill="1" applyBorder="1"/>
    <xf numFmtId="0" fontId="7" fillId="9" borderId="27" xfId="0" applyFont="1" applyFill="1" applyBorder="1"/>
    <xf numFmtId="0" fontId="8" fillId="9" borderId="27" xfId="0" applyFont="1" applyFill="1" applyBorder="1"/>
    <xf numFmtId="0" fontId="7" fillId="9" borderId="29" xfId="0" applyFont="1" applyFill="1" applyBorder="1"/>
    <xf numFmtId="0" fontId="27" fillId="0" borderId="0" xfId="0" applyFont="1" applyFill="1" applyBorder="1"/>
    <xf numFmtId="0" fontId="7" fillId="0" borderId="0" xfId="0" applyFont="1" applyFill="1" applyBorder="1"/>
    <xf numFmtId="0" fontId="8" fillId="0" borderId="0" xfId="0" applyFont="1" applyFill="1" applyBorder="1"/>
    <xf numFmtId="0" fontId="7" fillId="0" borderId="28" xfId="0" applyFont="1" applyFill="1" applyBorder="1"/>
    <xf numFmtId="9" fontId="0" fillId="0" borderId="0" xfId="0" applyNumberFormat="1"/>
    <xf numFmtId="168" fontId="0" fillId="0" borderId="0" xfId="0" applyNumberFormat="1"/>
    <xf numFmtId="0" fontId="14" fillId="0" borderId="26" xfId="0" applyFont="1" applyBorder="1" applyAlignment="1">
      <alignment horizontal="left" wrapText="1"/>
    </xf>
    <xf numFmtId="0" fontId="14" fillId="0" borderId="0" xfId="0" applyFont="1" applyAlignment="1">
      <alignment horizontal="left" wrapText="1"/>
    </xf>
    <xf numFmtId="0" fontId="25" fillId="0" borderId="0" xfId="0" applyFont="1" applyAlignment="1">
      <alignment horizontal="left" wrapText="1"/>
    </xf>
    <xf numFmtId="0" fontId="14" fillId="0" borderId="23" xfId="0" applyFont="1" applyBorder="1" applyAlignment="1">
      <alignment horizontal="center" wrapText="1"/>
    </xf>
    <xf numFmtId="0" fontId="14" fillId="0" borderId="24" xfId="0" applyFont="1" applyBorder="1" applyAlignment="1">
      <alignment horizontal="center" wrapText="1"/>
    </xf>
    <xf numFmtId="0" fontId="14" fillId="0" borderId="25" xfId="0" applyFont="1" applyBorder="1" applyAlignment="1">
      <alignment horizontal="center" wrapText="1"/>
    </xf>
    <xf numFmtId="0" fontId="14" fillId="2" borderId="34" xfId="0" applyFont="1" applyFill="1" applyBorder="1" applyAlignment="1">
      <alignment horizontal="center" wrapText="1"/>
    </xf>
    <xf numFmtId="0" fontId="14" fillId="2" borderId="33" xfId="0" applyFont="1" applyFill="1" applyBorder="1" applyAlignment="1">
      <alignment horizontal="center" wrapText="1"/>
    </xf>
    <xf numFmtId="0" fontId="0" fillId="0" borderId="0" xfId="0" applyAlignment="1">
      <alignment vertical="top" wrapText="1"/>
    </xf>
    <xf numFmtId="0" fontId="12" fillId="5" borderId="0" xfId="0" applyFont="1" applyFill="1" applyAlignment="1">
      <alignment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colors>
    <mruColors>
      <color rgb="FFFF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320039</xdr:colOff>
      <xdr:row>7</xdr:row>
      <xdr:rowOff>154305</xdr:rowOff>
    </xdr:from>
    <xdr:to>
      <xdr:col>13</xdr:col>
      <xdr:colOff>552450</xdr:colOff>
      <xdr:row>13</xdr:row>
      <xdr:rowOff>165504</xdr:rowOff>
    </xdr:to>
    <xdr:pic>
      <xdr:nvPicPr>
        <xdr:cNvPr id="4" name="Picture 3"/>
        <xdr:cNvPicPr>
          <a:picLocks noChangeAspect="1"/>
        </xdr:cNvPicPr>
      </xdr:nvPicPr>
      <xdr:blipFill>
        <a:blip xmlns:r="http://schemas.openxmlformats.org/officeDocument/2006/relationships" r:embed="rId1"/>
        <a:stretch>
          <a:fillRect/>
        </a:stretch>
      </xdr:blipFill>
      <xdr:spPr>
        <a:xfrm>
          <a:off x="5949314" y="1649730"/>
          <a:ext cx="2689861" cy="1097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46643</xdr:colOff>
      <xdr:row>1</xdr:row>
      <xdr:rowOff>378403</xdr:rowOff>
    </xdr:from>
    <xdr:to>
      <xdr:col>21</xdr:col>
      <xdr:colOff>134672</xdr:colOff>
      <xdr:row>7</xdr:row>
      <xdr:rowOff>134611</xdr:rowOff>
    </xdr:to>
    <xdr:pic>
      <xdr:nvPicPr>
        <xdr:cNvPr id="2" name="Picture 1"/>
        <xdr:cNvPicPr>
          <a:picLocks noChangeAspect="1"/>
        </xdr:cNvPicPr>
      </xdr:nvPicPr>
      <xdr:blipFill>
        <a:blip xmlns:r="http://schemas.openxmlformats.org/officeDocument/2006/relationships" r:embed="rId1"/>
        <a:stretch>
          <a:fillRect/>
        </a:stretch>
      </xdr:blipFill>
      <xdr:spPr>
        <a:xfrm>
          <a:off x="15496193" y="559378"/>
          <a:ext cx="1916829" cy="1499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23</xdr:row>
      <xdr:rowOff>0</xdr:rowOff>
    </xdr:from>
    <xdr:to>
      <xdr:col>15</xdr:col>
      <xdr:colOff>495300</xdr:colOff>
      <xdr:row>37</xdr:row>
      <xdr:rowOff>144780</xdr:rowOff>
    </xdr:to>
    <xdr:sp macro="" textlink="">
      <xdr:nvSpPr>
        <xdr:cNvPr id="2" name="TextBox 1"/>
        <xdr:cNvSpPr txBox="1"/>
      </xdr:nvSpPr>
      <xdr:spPr>
        <a:xfrm>
          <a:off x="10538460" y="9456420"/>
          <a:ext cx="6256020" cy="3474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Comment from Arthur Scott:  The operator (and the customer) should have reasonable expectation that a field measurement of 3.5 pCi is indeed less than 4pCi. This implies a total uncertainty (count statistics plus calibration) of &lt;12.5%. How much of this uncertainty can reasonably allocated to calibration?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the nominal CRM has a sensitivity of 2 cph/pCi/l, then the sd of a 48 h count at 4 pCi is 5%, which would allow for a calibration bias/uncertainty up to about 8%.</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calibration is carried out at a concentration high enough for the statistical error in CRM counts to be about 2%, which leaves around 6% uncertainty for STAR concentration measurement statistical uncertainties plus transfer system biases. For example, if Montgomery says the Lucas cells are good to 3%, there is a potential bias of 2-3%, depending on number of cells used, plus the statistical error in cell and chamber measurement system count etc.</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All in all, I think a total calibration uncertainty in the region of 6% is necessary, and achievable, and at the least could be used as a basis for discussion.</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Normal="100" workbookViewId="0">
      <selection activeCell="H16" sqref="H16"/>
    </sheetView>
  </sheetViews>
  <sheetFormatPr defaultRowHeight="15" x14ac:dyDescent="0.25"/>
  <cols>
    <col min="1" max="1" width="5.28515625" customWidth="1"/>
    <col min="2" max="2" width="20.85546875" customWidth="1"/>
    <col min="5" max="5" width="11.28515625" customWidth="1"/>
    <col min="9" max="9" width="18" customWidth="1"/>
    <col min="10" max="10" width="3.85546875" style="74" customWidth="1"/>
    <col min="11" max="11" width="4.7109375" customWidth="1"/>
    <col min="12" max="12" width="18.140625" customWidth="1"/>
    <col min="15" max="15" width="10.5703125" customWidth="1"/>
  </cols>
  <sheetData>
    <row r="1" spans="1:19" ht="15.75" x14ac:dyDescent="0.25">
      <c r="A1" s="131" t="s">
        <v>129</v>
      </c>
      <c r="B1" s="131"/>
      <c r="C1" s="93" t="s">
        <v>143</v>
      </c>
      <c r="K1" s="131" t="s">
        <v>129</v>
      </c>
      <c r="L1" s="131"/>
      <c r="M1" t="s">
        <v>137</v>
      </c>
    </row>
    <row r="2" spans="1:19" x14ac:dyDescent="0.25">
      <c r="B2" t="s">
        <v>132</v>
      </c>
      <c r="L2" t="s">
        <v>132</v>
      </c>
    </row>
    <row r="3" spans="1:19" x14ac:dyDescent="0.25">
      <c r="B3" t="s">
        <v>122</v>
      </c>
      <c r="C3" s="130">
        <v>2</v>
      </c>
      <c r="L3" t="s">
        <v>122</v>
      </c>
      <c r="M3" s="130">
        <v>2</v>
      </c>
    </row>
    <row r="4" spans="1:19" x14ac:dyDescent="0.25">
      <c r="B4" t="s">
        <v>123</v>
      </c>
      <c r="L4" t="s">
        <v>123</v>
      </c>
    </row>
    <row r="5" spans="1:19" x14ac:dyDescent="0.25">
      <c r="B5" t="s">
        <v>124</v>
      </c>
      <c r="C5" s="130">
        <v>10</v>
      </c>
      <c r="L5" t="s">
        <v>124</v>
      </c>
      <c r="M5" s="130">
        <v>10</v>
      </c>
    </row>
    <row r="6" spans="1:19" x14ac:dyDescent="0.25">
      <c r="B6" t="s">
        <v>128</v>
      </c>
      <c r="L6" t="s">
        <v>128</v>
      </c>
    </row>
    <row r="7" spans="1:19" x14ac:dyDescent="0.25">
      <c r="B7" t="s">
        <v>125</v>
      </c>
      <c r="C7" s="130">
        <v>0.03</v>
      </c>
      <c r="L7" t="s">
        <v>125</v>
      </c>
      <c r="M7" s="134">
        <f>SQRT(P7)/P7</f>
        <v>3.2274861218395144E-2</v>
      </c>
      <c r="O7" t="s">
        <v>142</v>
      </c>
      <c r="P7">
        <f>M3*M5*Hrs</f>
        <v>960</v>
      </c>
    </row>
    <row r="8" spans="1:19" x14ac:dyDescent="0.25">
      <c r="B8" t="s">
        <v>126</v>
      </c>
      <c r="C8" s="133">
        <f>(1/(SE*SE))/(CF*CONC)</f>
        <v>55.555555555555557</v>
      </c>
      <c r="D8" t="s">
        <v>127</v>
      </c>
      <c r="L8" t="s">
        <v>126</v>
      </c>
      <c r="M8" s="130">
        <v>48</v>
      </c>
      <c r="N8" t="s">
        <v>127</v>
      </c>
    </row>
    <row r="10" spans="1:19" x14ac:dyDescent="0.25">
      <c r="A10" s="131" t="s">
        <v>131</v>
      </c>
      <c r="K10" s="131" t="s">
        <v>131</v>
      </c>
    </row>
    <row r="11" spans="1:19" x14ac:dyDescent="0.25">
      <c r="A11" s="131"/>
      <c r="B11" t="s">
        <v>133</v>
      </c>
      <c r="K11" s="131"/>
      <c r="L11" t="s">
        <v>133</v>
      </c>
    </row>
    <row r="12" spans="1:19" ht="31.15" customHeight="1" x14ac:dyDescent="0.25">
      <c r="A12" s="131"/>
      <c r="B12" s="132" t="s">
        <v>134</v>
      </c>
      <c r="C12" s="130">
        <v>0.08</v>
      </c>
      <c r="D12" s="152" t="s">
        <v>136</v>
      </c>
      <c r="E12" s="153"/>
      <c r="F12" s="153"/>
      <c r="G12" s="153"/>
      <c r="H12" s="153"/>
      <c r="I12" s="153"/>
      <c r="K12" s="131"/>
      <c r="L12" s="132" t="s">
        <v>134</v>
      </c>
      <c r="M12" s="130">
        <v>0.08</v>
      </c>
      <c r="N12" s="152" t="s">
        <v>136</v>
      </c>
      <c r="O12" s="153"/>
      <c r="P12" s="153"/>
      <c r="Q12" s="153"/>
      <c r="R12" s="153"/>
      <c r="S12" s="153"/>
    </row>
    <row r="14" spans="1:19" x14ac:dyDescent="0.25">
      <c r="A14" s="131" t="s">
        <v>135</v>
      </c>
      <c r="K14" s="131" t="s">
        <v>135</v>
      </c>
    </row>
    <row r="15" spans="1:19" ht="47.45" customHeight="1" x14ac:dyDescent="0.25">
      <c r="C15" s="134">
        <f>SQRT((SE*SE)+(CSE*CSE))</f>
        <v>8.5440037453175313E-2</v>
      </c>
      <c r="D15" s="154" t="s">
        <v>139</v>
      </c>
      <c r="E15" s="154"/>
      <c r="F15" s="154"/>
      <c r="G15" s="154"/>
      <c r="H15" s="154"/>
      <c r="I15" s="154"/>
      <c r="M15" s="134">
        <f>SQRT((M7*M7)+(M12*M12))</f>
        <v>8.6265095297383562E-2</v>
      </c>
      <c r="N15" s="154" t="s">
        <v>139</v>
      </c>
      <c r="O15" s="154"/>
      <c r="P15" s="154"/>
      <c r="Q15" s="154"/>
      <c r="R15" s="154"/>
      <c r="S15" s="154"/>
    </row>
  </sheetData>
  <mergeCells count="4">
    <mergeCell ref="D12:I12"/>
    <mergeCell ref="D15:I15"/>
    <mergeCell ref="N12:S12"/>
    <mergeCell ref="N15:S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
  <sheetViews>
    <sheetView zoomScale="80" zoomScaleNormal="80" workbookViewId="0">
      <selection activeCell="C22" sqref="C22"/>
    </sheetView>
  </sheetViews>
  <sheetFormatPr defaultRowHeight="15" x14ac:dyDescent="0.25"/>
  <cols>
    <col min="2" max="2" width="9.7109375" customWidth="1"/>
    <col min="3" max="3" width="10.7109375" customWidth="1"/>
    <col min="4" max="4" width="9.28515625" customWidth="1"/>
    <col min="5" max="5" width="10" customWidth="1"/>
    <col min="6" max="6" width="7.140625" bestFit="1" customWidth="1"/>
    <col min="7" max="7" width="8.28515625" customWidth="1"/>
    <col min="8" max="8" width="7.85546875" bestFit="1" customWidth="1"/>
    <col min="9" max="9" width="10.28515625" customWidth="1"/>
    <col min="11" max="11" width="9.140625" customWidth="1"/>
    <col min="14" max="14" width="14.28515625" customWidth="1"/>
    <col min="15" max="15" width="6.85546875" customWidth="1"/>
    <col min="16" max="16" width="10.42578125" customWidth="1"/>
  </cols>
  <sheetData>
    <row r="1" spans="1:27" x14ac:dyDescent="0.25">
      <c r="A1" t="s">
        <v>96</v>
      </c>
    </row>
    <row r="2" spans="1:27" ht="12" customHeight="1" x14ac:dyDescent="0.25">
      <c r="A2" s="110" t="s">
        <v>103</v>
      </c>
      <c r="B2" s="110" t="s">
        <v>109</v>
      </c>
      <c r="C2" s="111" t="s">
        <v>31</v>
      </c>
      <c r="D2" s="111" t="s">
        <v>94</v>
      </c>
      <c r="E2" s="111" t="s">
        <v>104</v>
      </c>
      <c r="F2" s="111" t="s">
        <v>105</v>
      </c>
      <c r="G2" s="110" t="s">
        <v>108</v>
      </c>
      <c r="H2" s="111" t="s">
        <v>98</v>
      </c>
      <c r="I2" s="111" t="s">
        <v>101</v>
      </c>
      <c r="J2" s="118" t="s">
        <v>116</v>
      </c>
    </row>
    <row r="3" spans="1:27" ht="34.9" customHeight="1" x14ac:dyDescent="0.25">
      <c r="A3" t="s">
        <v>68</v>
      </c>
      <c r="B3">
        <f>(C3*E3)/D3</f>
        <v>8.4</v>
      </c>
      <c r="C3" s="119">
        <v>21</v>
      </c>
      <c r="D3" s="119">
        <v>10</v>
      </c>
      <c r="E3" s="119">
        <v>4</v>
      </c>
      <c r="F3" s="119">
        <v>24</v>
      </c>
      <c r="G3">
        <f>F3</f>
        <v>24</v>
      </c>
      <c r="H3">
        <f>C3*E3</f>
        <v>84</v>
      </c>
      <c r="I3" s="105">
        <f>F3/(SQRT(H3/D3))</f>
        <v>8.2807867121082506</v>
      </c>
      <c r="W3" t="s">
        <v>32</v>
      </c>
      <c r="X3" t="s">
        <v>113</v>
      </c>
      <c r="Z3" t="s">
        <v>114</v>
      </c>
    </row>
    <row r="4" spans="1:27" x14ac:dyDescent="0.25">
      <c r="A4" s="4" t="s">
        <v>68</v>
      </c>
      <c r="B4" s="4">
        <f t="shared" ref="B4:B10" si="0">(C4*E4)/D4</f>
        <v>5.6</v>
      </c>
      <c r="C4" s="120">
        <v>21</v>
      </c>
      <c r="D4" s="121">
        <v>15</v>
      </c>
      <c r="E4" s="121">
        <v>4</v>
      </c>
      <c r="F4" s="121">
        <v>48</v>
      </c>
      <c r="G4" s="4">
        <f t="shared" ref="G4:G10" si="1">F4</f>
        <v>48</v>
      </c>
      <c r="H4" s="4">
        <f>C4*E4</f>
        <v>84</v>
      </c>
      <c r="I4" s="108">
        <f>F4/(SQRT(H4/D4))</f>
        <v>20.283702113484399</v>
      </c>
      <c r="K4" s="30" t="s">
        <v>130</v>
      </c>
      <c r="W4">
        <v>25</v>
      </c>
      <c r="X4">
        <v>9.7799999999999994</v>
      </c>
      <c r="Y4" t="s">
        <v>115</v>
      </c>
      <c r="Z4">
        <v>0.25</v>
      </c>
      <c r="AA4" t="s">
        <v>66</v>
      </c>
    </row>
    <row r="5" spans="1:27" x14ac:dyDescent="0.25">
      <c r="B5">
        <f t="shared" si="0"/>
        <v>7.2</v>
      </c>
      <c r="C5" s="121">
        <v>18</v>
      </c>
      <c r="D5" s="121">
        <v>10</v>
      </c>
      <c r="E5" s="121">
        <v>4</v>
      </c>
      <c r="F5" s="121">
        <v>24</v>
      </c>
      <c r="G5">
        <v>24</v>
      </c>
      <c r="H5">
        <f t="shared" ref="H5:H10" si="2">C5*E5</f>
        <v>72</v>
      </c>
      <c r="I5" s="105">
        <f t="shared" ref="I5:I10" si="3">F5/(SQRT(H5/D5))</f>
        <v>8.9442719099991592</v>
      </c>
      <c r="K5" s="122">
        <v>0.7</v>
      </c>
      <c r="L5" t="s">
        <v>32</v>
      </c>
      <c r="X5">
        <f>X4/W4</f>
        <v>0.39119999999999999</v>
      </c>
      <c r="Y5" t="s">
        <v>91</v>
      </c>
      <c r="Z5">
        <f>60*Z4</f>
        <v>15</v>
      </c>
      <c r="AA5" t="s">
        <v>67</v>
      </c>
    </row>
    <row r="6" spans="1:27" x14ac:dyDescent="0.25">
      <c r="B6">
        <f t="shared" si="0"/>
        <v>7.2</v>
      </c>
      <c r="C6" s="121">
        <v>18</v>
      </c>
      <c r="D6" s="121">
        <v>10</v>
      </c>
      <c r="E6" s="121">
        <v>4</v>
      </c>
      <c r="F6" s="121">
        <v>24</v>
      </c>
      <c r="G6">
        <f t="shared" si="1"/>
        <v>24</v>
      </c>
      <c r="H6">
        <f t="shared" si="2"/>
        <v>72</v>
      </c>
      <c r="I6" s="105">
        <f t="shared" si="3"/>
        <v>8.9442719099991592</v>
      </c>
      <c r="K6">
        <f>$K$5*$C$17</f>
        <v>14.7</v>
      </c>
      <c r="L6" t="s">
        <v>67</v>
      </c>
      <c r="X6">
        <f>60*X5</f>
        <v>23.472000000000001</v>
      </c>
      <c r="Y6" t="s">
        <v>92</v>
      </c>
    </row>
    <row r="7" spans="1:27" x14ac:dyDescent="0.25">
      <c r="B7">
        <f t="shared" si="0"/>
        <v>7.2</v>
      </c>
      <c r="C7" s="121">
        <v>18</v>
      </c>
      <c r="D7" s="121">
        <v>10</v>
      </c>
      <c r="E7" s="121">
        <v>4</v>
      </c>
      <c r="F7" s="121">
        <v>24</v>
      </c>
      <c r="G7">
        <f t="shared" si="1"/>
        <v>24</v>
      </c>
      <c r="H7">
        <f t="shared" si="2"/>
        <v>72</v>
      </c>
      <c r="I7" s="105">
        <f t="shared" si="3"/>
        <v>8.9442719099991592</v>
      </c>
    </row>
    <row r="8" spans="1:27" x14ac:dyDescent="0.25">
      <c r="B8">
        <f t="shared" si="0"/>
        <v>7.2</v>
      </c>
      <c r="C8" s="121">
        <v>18</v>
      </c>
      <c r="D8" s="121">
        <v>10</v>
      </c>
      <c r="E8" s="121">
        <v>4</v>
      </c>
      <c r="F8" s="121">
        <v>24</v>
      </c>
      <c r="G8">
        <f t="shared" si="1"/>
        <v>24</v>
      </c>
      <c r="H8">
        <f t="shared" si="2"/>
        <v>72</v>
      </c>
      <c r="I8" s="105">
        <f t="shared" si="3"/>
        <v>8.9442719099991592</v>
      </c>
    </row>
    <row r="9" spans="1:27" x14ac:dyDescent="0.25">
      <c r="B9">
        <f t="shared" si="0"/>
        <v>7.2</v>
      </c>
      <c r="C9" s="121">
        <v>18</v>
      </c>
      <c r="D9" s="121">
        <v>10</v>
      </c>
      <c r="E9" s="121">
        <v>4</v>
      </c>
      <c r="F9" s="121">
        <v>24</v>
      </c>
      <c r="G9">
        <f t="shared" si="1"/>
        <v>24</v>
      </c>
      <c r="H9">
        <f t="shared" si="2"/>
        <v>72</v>
      </c>
      <c r="I9" s="105">
        <f t="shared" si="3"/>
        <v>8.9442719099991592</v>
      </c>
    </row>
    <row r="10" spans="1:27" x14ac:dyDescent="0.25">
      <c r="A10" t="s">
        <v>69</v>
      </c>
      <c r="B10">
        <f t="shared" si="0"/>
        <v>44.4</v>
      </c>
      <c r="C10" s="119">
        <v>111</v>
      </c>
      <c r="D10" s="119">
        <v>10</v>
      </c>
      <c r="E10" s="119">
        <v>4</v>
      </c>
      <c r="F10" s="119">
        <v>24</v>
      </c>
      <c r="G10">
        <f t="shared" si="1"/>
        <v>24</v>
      </c>
      <c r="H10">
        <f t="shared" si="2"/>
        <v>444</v>
      </c>
      <c r="I10" s="105">
        <f t="shared" si="3"/>
        <v>3.6018013511259857</v>
      </c>
    </row>
    <row r="13" spans="1:27" x14ac:dyDescent="0.25">
      <c r="A13" t="s">
        <v>95</v>
      </c>
    </row>
    <row r="14" spans="1:27" x14ac:dyDescent="0.25">
      <c r="A14" t="s">
        <v>102</v>
      </c>
    </row>
    <row r="15" spans="1:27" ht="57" x14ac:dyDescent="0.25">
      <c r="A15" s="110" t="s">
        <v>103</v>
      </c>
      <c r="B15" s="110" t="s">
        <v>100</v>
      </c>
      <c r="C15" s="111" t="s">
        <v>31</v>
      </c>
      <c r="D15" s="110" t="s">
        <v>106</v>
      </c>
      <c r="E15" s="111" t="s">
        <v>97</v>
      </c>
      <c r="F15" s="111" t="s">
        <v>99</v>
      </c>
      <c r="G15" s="110" t="s">
        <v>107</v>
      </c>
      <c r="H15" s="111" t="s">
        <v>98</v>
      </c>
      <c r="I15" s="111" t="s">
        <v>101</v>
      </c>
    </row>
    <row r="16" spans="1:27" x14ac:dyDescent="0.25">
      <c r="A16" s="75" t="s">
        <v>69</v>
      </c>
      <c r="B16" s="116">
        <f>(C16*E16)/D16</f>
        <v>277.5</v>
      </c>
      <c r="C16" s="119">
        <v>111</v>
      </c>
      <c r="D16" s="119">
        <v>10</v>
      </c>
      <c r="E16" s="119">
        <v>25</v>
      </c>
      <c r="F16" s="119">
        <v>48</v>
      </c>
      <c r="G16" s="75"/>
      <c r="H16" s="75">
        <f>C16*E16</f>
        <v>2775</v>
      </c>
      <c r="I16" s="112">
        <f>F16/(SQRT(H16/D16))</f>
        <v>2.881441080900788</v>
      </c>
    </row>
    <row r="17" spans="1:9" x14ac:dyDescent="0.25">
      <c r="A17" s="113" t="s">
        <v>68</v>
      </c>
      <c r="B17" s="117">
        <f>(C17*E17)/D17</f>
        <v>35.714285714285715</v>
      </c>
      <c r="C17" s="120">
        <f>21</f>
        <v>21</v>
      </c>
      <c r="D17" s="114">
        <f>K6</f>
        <v>14.7</v>
      </c>
      <c r="E17" s="121">
        <v>25</v>
      </c>
      <c r="F17" s="121">
        <v>48</v>
      </c>
      <c r="G17" s="113"/>
      <c r="H17" s="113">
        <f>C17*E17</f>
        <v>525</v>
      </c>
      <c r="I17" s="115">
        <f>F17/(SQRT(H17/D17))</f>
        <v>8.0319362547271247</v>
      </c>
    </row>
    <row r="18" spans="1:9" x14ac:dyDescent="0.25">
      <c r="A18" s="113"/>
      <c r="B18" s="117">
        <f>(C18*E18)/D18</f>
        <v>45</v>
      </c>
      <c r="C18" s="121">
        <v>18</v>
      </c>
      <c r="D18" s="121">
        <v>10</v>
      </c>
      <c r="E18" s="121">
        <v>25</v>
      </c>
      <c r="F18" s="121">
        <v>48</v>
      </c>
      <c r="G18" s="113"/>
      <c r="H18" s="113">
        <f>C18*E18</f>
        <v>450</v>
      </c>
      <c r="I18" s="115">
        <f>F18/(SQRT(H18/D18))</f>
        <v>7.1554175279993268</v>
      </c>
    </row>
    <row r="19" spans="1:9" x14ac:dyDescent="0.25">
      <c r="A19" s="113"/>
      <c r="B19" s="117">
        <f>(C19*E19)/D19</f>
        <v>31.944444444444443</v>
      </c>
      <c r="C19" s="121">
        <v>23</v>
      </c>
      <c r="D19" s="121">
        <v>18</v>
      </c>
      <c r="E19" s="121">
        <v>25</v>
      </c>
      <c r="F19" s="121">
        <v>24</v>
      </c>
      <c r="G19" s="113"/>
      <c r="H19" s="113">
        <f>C19*E19</f>
        <v>575</v>
      </c>
      <c r="I19" s="115">
        <f>F19/(SQRT(H19/D19))</f>
        <v>4.2463283372610379</v>
      </c>
    </row>
    <row r="20" spans="1:9" x14ac:dyDescent="0.25">
      <c r="A20" s="113"/>
      <c r="B20" s="117">
        <f t="shared" ref="B20:B22" si="4">(C20*E20)/D20</f>
        <v>16</v>
      </c>
      <c r="C20" s="121">
        <v>16</v>
      </c>
      <c r="D20" s="121">
        <v>25</v>
      </c>
      <c r="E20" s="121">
        <v>25</v>
      </c>
      <c r="F20" s="121">
        <v>24</v>
      </c>
      <c r="G20" s="113"/>
      <c r="H20" s="113">
        <f t="shared" ref="H20:H22" si="5">C20*E20</f>
        <v>400</v>
      </c>
      <c r="I20" s="115">
        <f t="shared" ref="I20:I22" si="6">F20/(SQRT(H20/D20))</f>
        <v>6</v>
      </c>
    </row>
    <row r="21" spans="1:9" x14ac:dyDescent="0.25">
      <c r="A21" s="113"/>
      <c r="B21" s="117">
        <f t="shared" si="4"/>
        <v>25</v>
      </c>
      <c r="C21" s="121">
        <v>10</v>
      </c>
      <c r="D21" s="121">
        <v>10</v>
      </c>
      <c r="E21" s="121">
        <v>25</v>
      </c>
      <c r="F21" s="121">
        <v>24</v>
      </c>
      <c r="G21" s="113"/>
      <c r="H21" s="113">
        <f t="shared" si="5"/>
        <v>250</v>
      </c>
      <c r="I21" s="115">
        <f t="shared" si="6"/>
        <v>4.8</v>
      </c>
    </row>
    <row r="22" spans="1:9" x14ac:dyDescent="0.25">
      <c r="A22" s="113"/>
      <c r="B22" s="117">
        <f t="shared" si="4"/>
        <v>10</v>
      </c>
      <c r="C22" s="121">
        <v>4</v>
      </c>
      <c r="D22" s="121">
        <v>10</v>
      </c>
      <c r="E22" s="121">
        <v>25</v>
      </c>
      <c r="F22" s="121">
        <v>24</v>
      </c>
      <c r="G22" s="113"/>
      <c r="H22" s="113">
        <f t="shared" si="5"/>
        <v>100</v>
      </c>
      <c r="I22" s="115">
        <f t="shared" si="6"/>
        <v>7.5894663844041101</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tabSelected="1" topLeftCell="A9" zoomScale="90" zoomScaleNormal="90" workbookViewId="0">
      <selection activeCell="H15" sqref="H15"/>
    </sheetView>
  </sheetViews>
  <sheetFormatPr defaultRowHeight="15" x14ac:dyDescent="0.25"/>
  <cols>
    <col min="1" max="1" width="18.5703125" customWidth="1"/>
    <col min="2" max="2" width="10.28515625" customWidth="1"/>
    <col min="3" max="3" width="6" customWidth="1"/>
    <col min="4" max="4" width="10" customWidth="1"/>
    <col min="5" max="5" width="11.28515625" customWidth="1"/>
    <col min="6" max="6" width="11.42578125" customWidth="1"/>
    <col min="7" max="7" width="17.42578125" customWidth="1"/>
    <col min="8" max="8" width="18.85546875" customWidth="1"/>
    <col min="9" max="9" width="21.140625" customWidth="1"/>
    <col min="10" max="10" width="11.7109375" customWidth="1"/>
    <col min="11" max="11" width="14.85546875" customWidth="1"/>
    <col min="12" max="12" width="16.28515625" customWidth="1"/>
    <col min="13" max="13" width="16.42578125" customWidth="1"/>
  </cols>
  <sheetData>
    <row r="1" spans="1:12" ht="20.45" customHeight="1" x14ac:dyDescent="0.25">
      <c r="A1" s="90" t="s">
        <v>121</v>
      </c>
      <c r="B1" s="81"/>
    </row>
    <row r="2" spans="1:12" s="30" customFormat="1" ht="37.15" customHeight="1" x14ac:dyDescent="0.2">
      <c r="B2" s="82" t="s">
        <v>55</v>
      </c>
      <c r="C2" s="30" t="s">
        <v>56</v>
      </c>
      <c r="D2" s="155" t="s">
        <v>51</v>
      </c>
      <c r="E2" s="156"/>
      <c r="F2" s="157"/>
      <c r="G2" s="83" t="s">
        <v>140</v>
      </c>
      <c r="H2" s="84" t="s">
        <v>118</v>
      </c>
      <c r="I2" s="100" t="s">
        <v>57</v>
      </c>
      <c r="J2" s="158" t="s">
        <v>138</v>
      </c>
      <c r="K2" s="159"/>
    </row>
    <row r="3" spans="1:12" s="30" customFormat="1" ht="42.6" customHeight="1" x14ac:dyDescent="0.2">
      <c r="A3" s="30" t="s">
        <v>47</v>
      </c>
      <c r="B3" s="127" t="s">
        <v>31</v>
      </c>
      <c r="C3" s="128" t="s">
        <v>32</v>
      </c>
      <c r="D3" s="135" t="s">
        <v>33</v>
      </c>
      <c r="E3" s="136" t="s">
        <v>34</v>
      </c>
      <c r="F3" s="73" t="s">
        <v>35</v>
      </c>
      <c r="G3" s="77" t="s">
        <v>41</v>
      </c>
      <c r="H3" s="91" t="s">
        <v>117</v>
      </c>
      <c r="I3" s="100" t="s">
        <v>58</v>
      </c>
      <c r="J3" s="92" t="s">
        <v>110</v>
      </c>
      <c r="K3" s="92" t="s">
        <v>111</v>
      </c>
      <c r="L3" s="109" t="s">
        <v>112</v>
      </c>
    </row>
    <row r="4" spans="1:12" x14ac:dyDescent="0.25">
      <c r="A4" t="s">
        <v>50</v>
      </c>
      <c r="B4" s="123">
        <v>2</v>
      </c>
      <c r="C4" s="122">
        <v>10</v>
      </c>
      <c r="D4" s="137">
        <f>B4*C4</f>
        <v>20</v>
      </c>
      <c r="E4" s="138">
        <f t="shared" ref="E4:E11" si="0">D4*24</f>
        <v>480</v>
      </c>
      <c r="F4" s="74">
        <f>D4*48</f>
        <v>960</v>
      </c>
      <c r="G4" s="78">
        <f>SQRT(F4)/F4</f>
        <v>3.2274861218395144E-2</v>
      </c>
      <c r="H4" s="80">
        <v>0.08</v>
      </c>
      <c r="I4" s="101">
        <f>SQRT(H4*H4+G4*G4)</f>
        <v>8.6265095297383562E-2</v>
      </c>
      <c r="J4" s="106">
        <f>C4-((SQRT(H4*H4+G4*G4)+I14)*C4)</f>
        <v>8.8873490470261647</v>
      </c>
      <c r="K4" s="106">
        <f>C4+(SQRT(H4*H4+G4*G4)+I14)*C4</f>
        <v>11.112650952973835</v>
      </c>
      <c r="L4" t="s">
        <v>84</v>
      </c>
    </row>
    <row r="5" spans="1:12" x14ac:dyDescent="0.25">
      <c r="A5" s="97" t="s">
        <v>49</v>
      </c>
      <c r="B5" s="124">
        <v>0.6</v>
      </c>
      <c r="C5" s="125">
        <v>10</v>
      </c>
      <c r="D5" s="139">
        <f>B5*C5</f>
        <v>6</v>
      </c>
      <c r="E5" s="140">
        <f t="shared" si="0"/>
        <v>144</v>
      </c>
      <c r="F5" s="98">
        <f t="shared" ref="F5:F11" si="1">D5*48</f>
        <v>288</v>
      </c>
      <c r="G5" s="99">
        <f t="shared" ref="G5:G11" si="2">SQRT(F5)/F5</f>
        <v>5.8925565098878953E-2</v>
      </c>
      <c r="H5" s="80">
        <v>0.08</v>
      </c>
      <c r="I5" s="102">
        <f>SQRT(H5*H5+G5*G5)</f>
        <v>9.9359057071925869E-2</v>
      </c>
      <c r="J5" s="107">
        <f t="shared" ref="J5:J6" si="3">C5-((SQRT(H5*H5+G5*G5)+J15)*C5)</f>
        <v>9.0064094292807404</v>
      </c>
      <c r="K5" s="107">
        <f t="shared" ref="K5:K11" si="4">C5+(SQRT(H5*H5+G5*G5)+J15)*C5</f>
        <v>10.99359057071926</v>
      </c>
    </row>
    <row r="6" spans="1:12" x14ac:dyDescent="0.25">
      <c r="A6" t="s">
        <v>88</v>
      </c>
      <c r="B6" s="123">
        <v>2.5</v>
      </c>
      <c r="C6" s="122">
        <v>10</v>
      </c>
      <c r="D6" s="137">
        <f>B6*C6</f>
        <v>25</v>
      </c>
      <c r="E6" s="138">
        <f t="shared" si="0"/>
        <v>600</v>
      </c>
      <c r="F6" s="74">
        <f t="shared" si="1"/>
        <v>1200</v>
      </c>
      <c r="G6" s="78">
        <f t="shared" si="2"/>
        <v>2.8867513459481291E-2</v>
      </c>
      <c r="H6" s="80">
        <v>0.08</v>
      </c>
      <c r="I6" s="101">
        <f t="shared" ref="I6:I11" si="5">SQRT(H6*H6+G6*G6)</f>
        <v>8.5049005481153822E-2</v>
      </c>
      <c r="J6" s="106">
        <f t="shared" si="3"/>
        <v>9.1495099451884627</v>
      </c>
      <c r="K6" s="106">
        <f t="shared" si="4"/>
        <v>10.850490054811537</v>
      </c>
    </row>
    <row r="7" spans="1:12" x14ac:dyDescent="0.25">
      <c r="A7" t="s">
        <v>119</v>
      </c>
      <c r="B7" s="123">
        <v>3</v>
      </c>
      <c r="C7" s="122">
        <v>10</v>
      </c>
      <c r="D7" s="137">
        <f t="shared" ref="D7:D11" si="6">B7*C7</f>
        <v>30</v>
      </c>
      <c r="E7" s="138">
        <f t="shared" si="0"/>
        <v>720</v>
      </c>
      <c r="F7" s="74">
        <f t="shared" si="1"/>
        <v>1440</v>
      </c>
      <c r="G7" s="78">
        <f t="shared" si="2"/>
        <v>2.6352313834736494E-2</v>
      </c>
      <c r="H7" s="80">
        <v>0.08</v>
      </c>
      <c r="I7" s="101">
        <f t="shared" si="5"/>
        <v>8.4228525123288517E-2</v>
      </c>
      <c r="J7" s="106">
        <f>C7-((SQRT(H7*H7+G7*G7)+J17)*C7)</f>
        <v>9.1577147487671144</v>
      </c>
      <c r="K7" s="106">
        <f t="shared" si="4"/>
        <v>10.842285251232886</v>
      </c>
    </row>
    <row r="8" spans="1:12" x14ac:dyDescent="0.25">
      <c r="A8" t="s">
        <v>120</v>
      </c>
      <c r="B8" s="123">
        <v>6</v>
      </c>
      <c r="C8" s="122">
        <v>10</v>
      </c>
      <c r="D8" s="137">
        <f t="shared" si="6"/>
        <v>60</v>
      </c>
      <c r="E8" s="138">
        <f t="shared" si="0"/>
        <v>1440</v>
      </c>
      <c r="F8" s="74">
        <f t="shared" si="1"/>
        <v>2880</v>
      </c>
      <c r="G8" s="78">
        <f t="shared" si="2"/>
        <v>1.8633899812498248E-2</v>
      </c>
      <c r="H8" s="80">
        <v>0.08</v>
      </c>
      <c r="I8" s="101">
        <f t="shared" si="5"/>
        <v>8.2141476869010716E-2</v>
      </c>
      <c r="J8" s="106" t="e">
        <f t="shared" ref="J8:J11" si="7">C8-((SQRT(H8*H8+G8*G8)+J18)*C8)</f>
        <v>#VALUE!</v>
      </c>
      <c r="K8" s="106" t="e">
        <f t="shared" si="4"/>
        <v>#VALUE!</v>
      </c>
    </row>
    <row r="9" spans="1:12" x14ac:dyDescent="0.25">
      <c r="A9" t="s">
        <v>71</v>
      </c>
      <c r="B9" s="123">
        <v>15</v>
      </c>
      <c r="C9" s="122">
        <v>10</v>
      </c>
      <c r="D9" s="137">
        <f t="shared" si="6"/>
        <v>150</v>
      </c>
      <c r="E9" s="138">
        <f t="shared" si="0"/>
        <v>3600</v>
      </c>
      <c r="F9" s="74">
        <f t="shared" si="1"/>
        <v>7200</v>
      </c>
      <c r="G9" s="78">
        <f t="shared" si="2"/>
        <v>1.1785113019775792E-2</v>
      </c>
      <c r="H9" s="80">
        <v>0.08</v>
      </c>
      <c r="I9" s="101">
        <f t="shared" si="5"/>
        <v>8.086339647138803E-2</v>
      </c>
      <c r="J9" s="106" t="e">
        <f t="shared" si="7"/>
        <v>#VALUE!</v>
      </c>
      <c r="K9" s="106" t="e">
        <f t="shared" si="4"/>
        <v>#VALUE!</v>
      </c>
    </row>
    <row r="10" spans="1:12" x14ac:dyDescent="0.25">
      <c r="A10" t="s">
        <v>68</v>
      </c>
      <c r="B10" s="123">
        <v>21</v>
      </c>
      <c r="C10" s="122">
        <v>10</v>
      </c>
      <c r="D10" s="137">
        <f t="shared" si="6"/>
        <v>210</v>
      </c>
      <c r="E10" s="138">
        <f t="shared" si="0"/>
        <v>5040</v>
      </c>
      <c r="F10" s="74">
        <f t="shared" si="1"/>
        <v>10080</v>
      </c>
      <c r="G10" s="78">
        <f t="shared" si="2"/>
        <v>9.9602384111199468E-3</v>
      </c>
      <c r="H10" s="80">
        <v>0.08</v>
      </c>
      <c r="I10" s="101">
        <f t="shared" si="5"/>
        <v>8.0617655319454362E-2</v>
      </c>
      <c r="J10" s="106">
        <f t="shared" si="7"/>
        <v>-79.095675300095806</v>
      </c>
      <c r="K10" s="106">
        <f t="shared" si="4"/>
        <v>99.095675300095806</v>
      </c>
    </row>
    <row r="11" spans="1:12" x14ac:dyDescent="0.25">
      <c r="A11" t="s">
        <v>48</v>
      </c>
      <c r="B11" s="126">
        <v>111</v>
      </c>
      <c r="C11" s="122">
        <v>10</v>
      </c>
      <c r="D11" s="141">
        <f t="shared" si="6"/>
        <v>1110</v>
      </c>
      <c r="E11" s="141">
        <f t="shared" si="0"/>
        <v>26640</v>
      </c>
      <c r="F11" s="76">
        <f t="shared" si="1"/>
        <v>53280</v>
      </c>
      <c r="G11" s="79">
        <f t="shared" si="2"/>
        <v>4.3322937075836359E-3</v>
      </c>
      <c r="H11" s="129">
        <v>0.08</v>
      </c>
      <c r="I11" s="103">
        <f t="shared" si="5"/>
        <v>8.0117218928072942E-2</v>
      </c>
      <c r="J11" s="106">
        <f t="shared" si="7"/>
        <v>-79.249356555171758</v>
      </c>
      <c r="K11" s="106">
        <f t="shared" si="4"/>
        <v>99.249356555171758</v>
      </c>
    </row>
    <row r="12" spans="1:12" x14ac:dyDescent="0.25">
      <c r="G12" s="5"/>
      <c r="I12" s="95" t="s">
        <v>83</v>
      </c>
      <c r="J12" s="95"/>
      <c r="K12" s="96"/>
      <c r="L12" s="95"/>
    </row>
    <row r="13" spans="1:12" x14ac:dyDescent="0.25">
      <c r="G13" s="5"/>
    </row>
    <row r="14" spans="1:12" x14ac:dyDescent="0.25">
      <c r="H14" s="30" t="s">
        <v>154</v>
      </c>
      <c r="I14" s="120">
        <v>2.5000000000000001E-2</v>
      </c>
    </row>
    <row r="17" spans="1:12" x14ac:dyDescent="0.25">
      <c r="A17" s="90" t="s">
        <v>121</v>
      </c>
      <c r="B17" s="81"/>
    </row>
    <row r="18" spans="1:12" ht="34.5" x14ac:dyDescent="0.25">
      <c r="A18" s="30"/>
      <c r="B18" s="82" t="s">
        <v>55</v>
      </c>
      <c r="C18" s="30" t="s">
        <v>56</v>
      </c>
      <c r="D18" s="155" t="s">
        <v>51</v>
      </c>
      <c r="E18" s="156"/>
      <c r="F18" s="157"/>
      <c r="G18" s="83" t="s">
        <v>141</v>
      </c>
      <c r="H18" s="84" t="s">
        <v>118</v>
      </c>
      <c r="I18" s="100" t="s">
        <v>57</v>
      </c>
      <c r="J18" s="158" t="s">
        <v>138</v>
      </c>
      <c r="K18" s="159"/>
      <c r="L18" s="30"/>
    </row>
    <row r="19" spans="1:12" ht="57" x14ac:dyDescent="0.25">
      <c r="A19" s="30" t="s">
        <v>47</v>
      </c>
      <c r="B19" s="127" t="s">
        <v>31</v>
      </c>
      <c r="C19" s="128" t="s">
        <v>32</v>
      </c>
      <c r="D19" s="135" t="s">
        <v>33</v>
      </c>
      <c r="E19" s="146" t="s">
        <v>34</v>
      </c>
      <c r="F19" s="142" t="s">
        <v>35</v>
      </c>
      <c r="G19" s="77" t="s">
        <v>41</v>
      </c>
      <c r="H19" s="91" t="s">
        <v>117</v>
      </c>
      <c r="I19" s="100" t="s">
        <v>58</v>
      </c>
      <c r="J19" s="92" t="s">
        <v>110</v>
      </c>
      <c r="K19" s="92" t="s">
        <v>111</v>
      </c>
      <c r="L19" s="109" t="s">
        <v>112</v>
      </c>
    </row>
    <row r="20" spans="1:12" x14ac:dyDescent="0.25">
      <c r="A20" t="s">
        <v>50</v>
      </c>
      <c r="B20" s="123">
        <v>2</v>
      </c>
      <c r="C20" s="122">
        <v>10</v>
      </c>
      <c r="D20" s="137">
        <f>B20*C20</f>
        <v>20</v>
      </c>
      <c r="E20" s="147">
        <f t="shared" ref="E20:E27" si="8">D20*24</f>
        <v>480</v>
      </c>
      <c r="F20" s="143">
        <f>D20*48</f>
        <v>960</v>
      </c>
      <c r="G20" s="78">
        <f>SQRT(E20)/E20</f>
        <v>4.5643546458763846E-2</v>
      </c>
      <c r="H20" s="80">
        <v>0.08</v>
      </c>
      <c r="I20" s="101">
        <f>SQRT(H20*H20+G20*G20)</f>
        <v>9.2105012530987337E-2</v>
      </c>
      <c r="J20" s="106">
        <f>C20-((SQRT(H20*H20+G20*G20)+I30)*C20)</f>
        <v>8.8289498746901263</v>
      </c>
      <c r="K20" s="106">
        <f>C20+(SQRT(H20*H20+G20*G20)+I30)*C20</f>
        <v>11.171050125309874</v>
      </c>
      <c r="L20" t="s">
        <v>84</v>
      </c>
    </row>
    <row r="21" spans="1:12" x14ac:dyDescent="0.25">
      <c r="A21" s="97" t="s">
        <v>49</v>
      </c>
      <c r="B21" s="124">
        <v>0.6</v>
      </c>
      <c r="C21" s="125">
        <v>10</v>
      </c>
      <c r="D21" s="139">
        <f>B21*C21</f>
        <v>6</v>
      </c>
      <c r="E21" s="148">
        <f t="shared" si="8"/>
        <v>144</v>
      </c>
      <c r="F21" s="144">
        <f t="shared" ref="F21:F27" si="9">D21*48</f>
        <v>288</v>
      </c>
      <c r="G21" s="78">
        <f t="shared" ref="G21:G27" si="10">SQRT(E21)/E21</f>
        <v>8.3333333333333329E-2</v>
      </c>
      <c r="H21" s="80">
        <v>0.08</v>
      </c>
      <c r="I21" s="102">
        <f>SQRT(H21*H21+G21*G21)</f>
        <v>0.11551815634108971</v>
      </c>
      <c r="J21" s="107">
        <f t="shared" ref="J21:J27" si="11">C21-((SQRT(H21*H21+G21*G21)+J31)*C21)</f>
        <v>8.8448184365891027</v>
      </c>
      <c r="K21" s="107">
        <f t="shared" ref="K21:K27" si="12">C21+(SQRT(H21*H21+G21*G21)+J31)*C21</f>
        <v>11.155181563410897</v>
      </c>
    </row>
    <row r="22" spans="1:12" x14ac:dyDescent="0.25">
      <c r="A22" t="s">
        <v>88</v>
      </c>
      <c r="B22" s="123">
        <v>2.5</v>
      </c>
      <c r="C22" s="122">
        <v>10</v>
      </c>
      <c r="D22" s="137">
        <f>B22*C22</f>
        <v>25</v>
      </c>
      <c r="E22" s="147">
        <f t="shared" si="8"/>
        <v>600</v>
      </c>
      <c r="F22" s="143">
        <f t="shared" si="9"/>
        <v>1200</v>
      </c>
      <c r="G22" s="78">
        <f t="shared" si="10"/>
        <v>4.0824829046386298E-2</v>
      </c>
      <c r="H22" s="80">
        <v>0.08</v>
      </c>
      <c r="I22" s="101">
        <f t="shared" ref="I22:I27" si="13">SQRT(H22*H22+G22*G22)</f>
        <v>8.9814623902049862E-2</v>
      </c>
      <c r="J22" s="106">
        <f t="shared" si="11"/>
        <v>9.1018537609795018</v>
      </c>
      <c r="K22" s="106">
        <f t="shared" si="12"/>
        <v>10.898146239020498</v>
      </c>
    </row>
    <row r="23" spans="1:12" x14ac:dyDescent="0.25">
      <c r="A23" t="s">
        <v>119</v>
      </c>
      <c r="B23" s="123">
        <v>3</v>
      </c>
      <c r="C23" s="122">
        <v>10</v>
      </c>
      <c r="D23" s="137">
        <f t="shared" ref="D23:D27" si="14">B23*C23</f>
        <v>30</v>
      </c>
      <c r="E23" s="147">
        <f t="shared" si="8"/>
        <v>720</v>
      </c>
      <c r="F23" s="143">
        <f t="shared" si="9"/>
        <v>1440</v>
      </c>
      <c r="G23" s="78">
        <f t="shared" si="10"/>
        <v>3.7267799624996496E-2</v>
      </c>
      <c r="H23" s="80">
        <v>0.08</v>
      </c>
      <c r="I23" s="101">
        <f t="shared" si="13"/>
        <v>8.8254681965824852E-2</v>
      </c>
      <c r="J23" s="106">
        <f t="shared" si="11"/>
        <v>9.1174531803417516</v>
      </c>
      <c r="K23" s="106">
        <f t="shared" si="12"/>
        <v>10.882546819658248</v>
      </c>
    </row>
    <row r="24" spans="1:12" x14ac:dyDescent="0.25">
      <c r="A24" t="s">
        <v>120</v>
      </c>
      <c r="B24" s="123">
        <v>6</v>
      </c>
      <c r="C24" s="122">
        <v>10</v>
      </c>
      <c r="D24" s="137">
        <f t="shared" si="14"/>
        <v>60</v>
      </c>
      <c r="E24" s="147">
        <f t="shared" si="8"/>
        <v>1440</v>
      </c>
      <c r="F24" s="143">
        <f t="shared" si="9"/>
        <v>2880</v>
      </c>
      <c r="G24" s="78">
        <f t="shared" si="10"/>
        <v>2.6352313834736494E-2</v>
      </c>
      <c r="H24" s="80">
        <v>0.08</v>
      </c>
      <c r="I24" s="101">
        <f t="shared" si="13"/>
        <v>8.4228525123288517E-2</v>
      </c>
      <c r="J24" s="106">
        <f t="shared" si="11"/>
        <v>9.1577147487671144</v>
      </c>
      <c r="K24" s="106">
        <f t="shared" si="12"/>
        <v>10.842285251232886</v>
      </c>
    </row>
    <row r="25" spans="1:12" x14ac:dyDescent="0.25">
      <c r="A25" t="s">
        <v>71</v>
      </c>
      <c r="B25" s="123">
        <v>15</v>
      </c>
      <c r="C25" s="122">
        <v>10</v>
      </c>
      <c r="D25" s="137">
        <f t="shared" si="14"/>
        <v>150</v>
      </c>
      <c r="E25" s="147">
        <f t="shared" si="8"/>
        <v>3600</v>
      </c>
      <c r="F25" s="143">
        <f t="shared" si="9"/>
        <v>7200</v>
      </c>
      <c r="G25" s="78">
        <f t="shared" si="10"/>
        <v>1.6666666666666666E-2</v>
      </c>
      <c r="H25" s="80">
        <v>0.08</v>
      </c>
      <c r="I25" s="101">
        <f t="shared" si="13"/>
        <v>8.1717671147541748E-2</v>
      </c>
      <c r="J25" s="106">
        <f t="shared" si="11"/>
        <v>9.1828232885245828</v>
      </c>
      <c r="K25" s="106">
        <f t="shared" si="12"/>
        <v>10.817176711475417</v>
      </c>
    </row>
    <row r="26" spans="1:12" x14ac:dyDescent="0.25">
      <c r="A26" t="s">
        <v>68</v>
      </c>
      <c r="B26" s="123">
        <v>21</v>
      </c>
      <c r="C26" s="122">
        <v>10</v>
      </c>
      <c r="D26" s="137">
        <f t="shared" si="14"/>
        <v>210</v>
      </c>
      <c r="E26" s="147">
        <f t="shared" si="8"/>
        <v>5040</v>
      </c>
      <c r="F26" s="143">
        <f t="shared" si="9"/>
        <v>10080</v>
      </c>
      <c r="G26" s="78">
        <f t="shared" si="10"/>
        <v>1.4085904245475277E-2</v>
      </c>
      <c r="H26" s="80">
        <v>0.08</v>
      </c>
      <c r="I26" s="101">
        <f t="shared" si="13"/>
        <v>8.1230614292966533E-2</v>
      </c>
      <c r="J26" s="106">
        <f t="shared" si="11"/>
        <v>9.1876938570703341</v>
      </c>
      <c r="K26" s="106">
        <f t="shared" si="12"/>
        <v>10.812306142929666</v>
      </c>
    </row>
    <row r="27" spans="1:12" x14ac:dyDescent="0.25">
      <c r="A27" t="s">
        <v>48</v>
      </c>
      <c r="B27" s="126">
        <v>111</v>
      </c>
      <c r="C27" s="122">
        <v>10</v>
      </c>
      <c r="D27" s="141">
        <f t="shared" si="14"/>
        <v>1110</v>
      </c>
      <c r="E27" s="149">
        <f t="shared" si="8"/>
        <v>26640</v>
      </c>
      <c r="F27" s="145">
        <f t="shared" si="9"/>
        <v>53280</v>
      </c>
      <c r="G27" s="78">
        <f t="shared" si="10"/>
        <v>6.1267885174483977E-3</v>
      </c>
      <c r="H27" s="129">
        <v>0.08</v>
      </c>
      <c r="I27" s="103">
        <f t="shared" si="13"/>
        <v>8.0234266604347654E-2</v>
      </c>
      <c r="J27" s="106">
        <f t="shared" si="11"/>
        <v>9.1976573339565242</v>
      </c>
      <c r="K27" s="106">
        <f t="shared" si="12"/>
        <v>10.802342666043476</v>
      </c>
    </row>
    <row r="28" spans="1:12" x14ac:dyDescent="0.25">
      <c r="G28" s="5"/>
      <c r="I28" s="95" t="s">
        <v>83</v>
      </c>
      <c r="J28" s="95"/>
      <c r="K28" s="96"/>
      <c r="L28" s="95"/>
    </row>
    <row r="29" spans="1:12" x14ac:dyDescent="0.25">
      <c r="G29" s="5"/>
    </row>
    <row r="30" spans="1:12" x14ac:dyDescent="0.25">
      <c r="H30" s="30" t="s">
        <v>154</v>
      </c>
      <c r="I30" s="120">
        <v>2.5000000000000001E-2</v>
      </c>
    </row>
  </sheetData>
  <mergeCells count="4">
    <mergeCell ref="D2:F2"/>
    <mergeCell ref="J2:K2"/>
    <mergeCell ref="D18:F18"/>
    <mergeCell ref="J18:K18"/>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zoomScale="60" zoomScaleNormal="60" workbookViewId="0">
      <selection activeCell="O13" sqref="O13"/>
    </sheetView>
  </sheetViews>
  <sheetFormatPr defaultRowHeight="15" x14ac:dyDescent="0.25"/>
  <cols>
    <col min="1" max="1" width="67.28515625" customWidth="1"/>
    <col min="2" max="2" width="37.85546875" bestFit="1" customWidth="1"/>
    <col min="3" max="3" width="15.28515625" customWidth="1"/>
    <col min="4" max="4" width="6.7109375" customWidth="1"/>
    <col min="5" max="5" width="17.5703125" customWidth="1"/>
    <col min="6" max="6" width="12.7109375" customWidth="1"/>
    <col min="7" max="8" width="12.28515625" customWidth="1"/>
    <col min="9" max="9" width="10.85546875" customWidth="1"/>
    <col min="10" max="10" width="11.7109375" customWidth="1"/>
  </cols>
  <sheetData>
    <row r="1" spans="1:11" ht="27" customHeight="1" x14ac:dyDescent="0.25">
      <c r="A1" s="161" t="s">
        <v>54</v>
      </c>
      <c r="B1" s="162"/>
      <c r="C1" s="162"/>
      <c r="D1" s="162"/>
      <c r="E1" s="162"/>
      <c r="F1" s="162"/>
      <c r="G1" s="29"/>
      <c r="H1" s="29"/>
      <c r="I1" s="29"/>
      <c r="J1" s="29"/>
    </row>
    <row r="2" spans="1:11" x14ac:dyDescent="0.25">
      <c r="A2" s="62" t="s">
        <v>53</v>
      </c>
      <c r="B2" s="31"/>
      <c r="C2" s="31"/>
      <c r="D2" s="31"/>
      <c r="E2" s="31"/>
      <c r="F2" s="31"/>
      <c r="G2" s="31"/>
      <c r="H2" s="31"/>
      <c r="I2" s="31"/>
      <c r="J2" s="31"/>
    </row>
    <row r="3" spans="1:11" ht="72" customHeight="1" x14ac:dyDescent="0.25">
      <c r="A3" s="28" t="s">
        <v>59</v>
      </c>
      <c r="B3" s="85" t="s">
        <v>0</v>
      </c>
      <c r="C3" s="85" t="s">
        <v>1</v>
      </c>
      <c r="D3" s="86" t="s">
        <v>2</v>
      </c>
      <c r="E3" s="2" t="s">
        <v>36</v>
      </c>
      <c r="F3" s="1" t="s">
        <v>3</v>
      </c>
      <c r="G3" s="1" t="s">
        <v>4</v>
      </c>
      <c r="H3" s="1" t="s">
        <v>5</v>
      </c>
      <c r="I3" s="1" t="s">
        <v>6</v>
      </c>
      <c r="J3" s="1" t="s">
        <v>7</v>
      </c>
    </row>
    <row r="4" spans="1:11" x14ac:dyDescent="0.25">
      <c r="A4" s="7" t="s">
        <v>29</v>
      </c>
      <c r="B4" s="8" t="s">
        <v>30</v>
      </c>
      <c r="C4" s="9">
        <f>0.0038/3</f>
        <v>1.2666666666666666E-3</v>
      </c>
      <c r="D4" s="10" t="s">
        <v>8</v>
      </c>
      <c r="E4" s="9"/>
      <c r="F4" s="9">
        <f t="shared" ref="F4:F9" si="0">C4*C4</f>
        <v>1.6044444444444442E-6</v>
      </c>
      <c r="G4" s="9"/>
      <c r="H4" s="9"/>
      <c r="I4" s="9"/>
      <c r="J4" s="11">
        <v>1.1999999999999999E-3</v>
      </c>
    </row>
    <row r="5" spans="1:11" x14ac:dyDescent="0.25">
      <c r="A5" s="12" t="s">
        <v>9</v>
      </c>
      <c r="B5" s="13" t="s">
        <v>10</v>
      </c>
      <c r="C5" s="14">
        <f>0.1/3000</f>
        <v>3.3333333333333335E-5</v>
      </c>
      <c r="D5" s="15" t="s">
        <v>8</v>
      </c>
      <c r="E5" s="14"/>
      <c r="F5" s="14">
        <f t="shared" si="0"/>
        <v>1.1111111111111113E-9</v>
      </c>
      <c r="G5" s="14"/>
      <c r="H5" s="14"/>
      <c r="I5" s="14"/>
      <c r="J5" s="16">
        <f>0.3/3000</f>
        <v>9.9999999999999991E-5</v>
      </c>
    </row>
    <row r="6" spans="1:11" x14ac:dyDescent="0.25">
      <c r="A6" s="17"/>
      <c r="B6" s="13" t="s">
        <v>11</v>
      </c>
      <c r="C6" s="14">
        <v>5.0000000000000002E-5</v>
      </c>
      <c r="D6" s="15" t="s">
        <v>8</v>
      </c>
      <c r="E6" s="14"/>
      <c r="F6" s="14">
        <f t="shared" si="0"/>
        <v>2.5000000000000001E-9</v>
      </c>
      <c r="G6" s="14"/>
      <c r="H6" s="14"/>
      <c r="I6" s="14"/>
      <c r="J6" s="16" t="s">
        <v>12</v>
      </c>
    </row>
    <row r="7" spans="1:11" x14ac:dyDescent="0.25">
      <c r="A7" s="17"/>
      <c r="B7" s="14" t="s">
        <v>13</v>
      </c>
      <c r="C7" s="14">
        <v>6.0000000000000002E-5</v>
      </c>
      <c r="D7" s="15" t="s">
        <v>8</v>
      </c>
      <c r="E7" s="14"/>
      <c r="F7" s="14">
        <f t="shared" si="0"/>
        <v>3.6E-9</v>
      </c>
      <c r="G7" s="14"/>
      <c r="H7" s="14"/>
      <c r="I7" s="14"/>
      <c r="J7" s="16">
        <f>C7</f>
        <v>6.0000000000000002E-5</v>
      </c>
    </row>
    <row r="8" spans="1:11" x14ac:dyDescent="0.25">
      <c r="A8" s="17"/>
      <c r="B8" s="14" t="s">
        <v>14</v>
      </c>
      <c r="C8" s="14">
        <v>4.9603174603174603E-5</v>
      </c>
      <c r="D8" s="15" t="s">
        <v>8</v>
      </c>
      <c r="E8" s="14"/>
      <c r="F8" s="14">
        <f t="shared" si="0"/>
        <v>2.4604749307130261E-9</v>
      </c>
      <c r="G8" s="14"/>
      <c r="H8" s="14"/>
      <c r="I8" s="14"/>
      <c r="J8" s="16" t="s">
        <v>12</v>
      </c>
    </row>
    <row r="9" spans="1:11" ht="30" x14ac:dyDescent="0.25">
      <c r="A9" s="17"/>
      <c r="B9" s="13" t="s">
        <v>15</v>
      </c>
      <c r="C9" s="14">
        <v>3.9473684210526316E-5</v>
      </c>
      <c r="D9" s="15" t="s">
        <v>8</v>
      </c>
      <c r="E9" s="14"/>
      <c r="F9" s="14">
        <f t="shared" si="0"/>
        <v>1.5581717451523547E-9</v>
      </c>
      <c r="G9" s="18"/>
      <c r="H9" s="19"/>
      <c r="I9" s="14"/>
      <c r="J9" s="16">
        <v>3.9473684210526316E-5</v>
      </c>
    </row>
    <row r="10" spans="1:11" ht="90" x14ac:dyDescent="0.25">
      <c r="A10" s="88" t="s">
        <v>60</v>
      </c>
      <c r="B10" s="87" t="s">
        <v>61</v>
      </c>
      <c r="C10" s="14">
        <v>9.348722446528613E-3</v>
      </c>
      <c r="D10" s="15"/>
      <c r="E10" s="14"/>
      <c r="F10" s="14">
        <f>C10*C10</f>
        <v>8.7398611382227931E-5</v>
      </c>
      <c r="G10" s="14"/>
      <c r="H10" s="14"/>
      <c r="I10" s="14"/>
      <c r="J10" s="20" t="s">
        <v>16</v>
      </c>
    </row>
    <row r="11" spans="1:11" ht="60.75" thickBot="1" x14ac:dyDescent="0.3">
      <c r="A11" s="21" t="s">
        <v>62</v>
      </c>
      <c r="B11" s="22" t="s">
        <v>17</v>
      </c>
      <c r="C11" s="60"/>
      <c r="D11" s="24">
        <v>1</v>
      </c>
      <c r="E11" s="23"/>
      <c r="F11" s="23"/>
      <c r="G11" s="25">
        <v>8.9014285584459345E-5</v>
      </c>
      <c r="H11" s="25">
        <v>9.4347382361387924E-3</v>
      </c>
      <c r="I11" s="26">
        <v>1.0834211920349319E-2</v>
      </c>
      <c r="J11" s="27"/>
    </row>
    <row r="12" spans="1:11" ht="73.150000000000006" customHeight="1" thickBot="1" x14ac:dyDescent="0.3">
      <c r="A12" s="32" t="s">
        <v>63</v>
      </c>
      <c r="B12" s="58"/>
      <c r="C12" s="61">
        <f>I11</f>
        <v>1.0834211920349319E-2</v>
      </c>
      <c r="D12" s="59">
        <v>3</v>
      </c>
      <c r="E12" s="33">
        <f>C12/SQRT(D12)</f>
        <v>6.255135168671132E-3</v>
      </c>
      <c r="F12" s="72">
        <f>E12*E12</f>
        <v>3.9126715978346433E-5</v>
      </c>
      <c r="G12" s="35"/>
      <c r="H12" s="35"/>
      <c r="I12" s="36"/>
      <c r="J12" s="37"/>
    </row>
    <row r="13" spans="1:11" ht="46.9" customHeight="1" x14ac:dyDescent="0.25">
      <c r="A13" s="66" t="s">
        <v>52</v>
      </c>
      <c r="B13" s="67"/>
      <c r="C13" s="46">
        <v>3.5000000000000003E-2</v>
      </c>
      <c r="D13" s="68">
        <v>3</v>
      </c>
      <c r="E13" s="33">
        <f>C13/SQRT(D13)</f>
        <v>2.0207259421636904E-2</v>
      </c>
      <c r="F13" s="34">
        <f>E13*E13</f>
        <v>4.0833333333333341E-4</v>
      </c>
      <c r="G13" s="69"/>
      <c r="H13" s="69"/>
      <c r="I13" s="70"/>
      <c r="J13" s="71"/>
    </row>
    <row r="14" spans="1:11" ht="144" customHeight="1" x14ac:dyDescent="0.25">
      <c r="A14" s="38" t="s">
        <v>64</v>
      </c>
      <c r="B14" s="39"/>
      <c r="C14" s="63">
        <v>3.5000000000000003E-2</v>
      </c>
      <c r="D14" s="40">
        <v>3</v>
      </c>
      <c r="E14" s="41">
        <f>C14/SQRT(D14)</f>
        <v>2.0207259421636904E-2</v>
      </c>
      <c r="F14" s="42">
        <f>E14*E14</f>
        <v>4.0833333333333341E-4</v>
      </c>
      <c r="G14" s="43"/>
      <c r="H14" s="43"/>
      <c r="I14" s="43"/>
      <c r="J14" s="44"/>
      <c r="K14" s="89"/>
    </row>
    <row r="15" spans="1:11" ht="57.6" customHeight="1" x14ac:dyDescent="0.25">
      <c r="A15" s="45" t="s">
        <v>65</v>
      </c>
      <c r="B15" s="39"/>
      <c r="C15" s="46">
        <v>0.03</v>
      </c>
      <c r="D15" s="40">
        <v>1</v>
      </c>
      <c r="E15" s="43"/>
      <c r="F15" s="42">
        <f>C15*C15</f>
        <v>8.9999999999999998E-4</v>
      </c>
      <c r="G15" s="43"/>
      <c r="H15" s="43"/>
      <c r="I15" s="43"/>
      <c r="J15" s="44"/>
    </row>
    <row r="16" spans="1:11" x14ac:dyDescent="0.25">
      <c r="A16" s="45" t="s">
        <v>18</v>
      </c>
      <c r="B16" s="43"/>
      <c r="C16" s="46">
        <f>C15</f>
        <v>0.03</v>
      </c>
      <c r="D16" s="40">
        <v>1</v>
      </c>
      <c r="E16" s="43"/>
      <c r="F16" s="42">
        <f>C16*C16</f>
        <v>8.9999999999999998E-4</v>
      </c>
      <c r="G16" s="43"/>
      <c r="H16" s="43"/>
      <c r="I16" s="43"/>
      <c r="J16" s="44"/>
    </row>
    <row r="17" spans="1:10" x14ac:dyDescent="0.25">
      <c r="A17" s="65" t="s">
        <v>19</v>
      </c>
      <c r="B17" s="43"/>
      <c r="C17" s="64">
        <v>0.02</v>
      </c>
      <c r="D17" s="40">
        <v>2</v>
      </c>
      <c r="E17" s="41">
        <f>C17/SQRT(D17)</f>
        <v>1.4142135623730949E-2</v>
      </c>
      <c r="F17" s="42">
        <f>E17*E17</f>
        <v>1.9999999999999996E-4</v>
      </c>
      <c r="G17" s="43"/>
      <c r="H17" s="43"/>
      <c r="I17" s="43"/>
      <c r="J17" s="44"/>
    </row>
    <row r="18" spans="1:10" x14ac:dyDescent="0.25">
      <c r="A18" s="47" t="s">
        <v>20</v>
      </c>
      <c r="B18" s="43"/>
      <c r="C18" s="48"/>
      <c r="D18" s="40"/>
      <c r="E18" s="43"/>
      <c r="F18" s="42"/>
      <c r="G18" s="42">
        <f>SUM(F12:F17)</f>
        <v>2.855793382645013E-3</v>
      </c>
      <c r="H18" s="42">
        <f>SQRT(G18)</f>
        <v>5.3439623713542495E-2</v>
      </c>
      <c r="I18" s="42">
        <f>H18</f>
        <v>5.3439623713542495E-2</v>
      </c>
      <c r="J18" s="44"/>
    </row>
    <row r="19" spans="1:10" x14ac:dyDescent="0.25">
      <c r="A19" s="49" t="s">
        <v>37</v>
      </c>
      <c r="B19" s="43"/>
      <c r="C19" s="46">
        <v>7.0000000000000001E-3</v>
      </c>
      <c r="D19" s="40"/>
      <c r="E19" s="43"/>
      <c r="F19" s="42">
        <f>C19*C19</f>
        <v>4.9000000000000005E-5</v>
      </c>
      <c r="G19" s="42"/>
      <c r="H19" s="50"/>
      <c r="I19" s="43"/>
      <c r="J19" s="44"/>
    </row>
    <row r="20" spans="1:10" x14ac:dyDescent="0.25">
      <c r="A20" s="49" t="s">
        <v>38</v>
      </c>
      <c r="B20" s="43"/>
      <c r="C20" s="46">
        <f>C19</f>
        <v>7.0000000000000001E-3</v>
      </c>
      <c r="D20" s="40"/>
      <c r="E20" s="43"/>
      <c r="F20" s="42">
        <f>C20*C20</f>
        <v>4.9000000000000005E-5</v>
      </c>
      <c r="G20" s="42"/>
      <c r="H20" s="50"/>
      <c r="I20" s="43"/>
      <c r="J20" s="44"/>
    </row>
    <row r="21" spans="1:10" x14ac:dyDescent="0.25">
      <c r="A21" s="65" t="s">
        <v>39</v>
      </c>
      <c r="B21" s="43"/>
      <c r="C21" s="43">
        <v>3.5000000000000003E-2</v>
      </c>
      <c r="D21" s="40">
        <v>2</v>
      </c>
      <c r="E21" s="41">
        <f>C21/SQRT(D21)</f>
        <v>2.4748737341529162E-2</v>
      </c>
      <c r="F21" s="42">
        <f>E21*E21</f>
        <v>6.1249999999999998E-4</v>
      </c>
      <c r="G21" s="42"/>
      <c r="H21" s="43"/>
      <c r="I21" s="50"/>
      <c r="J21" s="44"/>
    </row>
    <row r="22" spans="1:10" ht="15.75" thickBot="1" x14ac:dyDescent="0.3">
      <c r="A22" s="51"/>
      <c r="B22" s="52"/>
      <c r="C22" s="53"/>
      <c r="D22" s="54"/>
      <c r="E22" s="52"/>
      <c r="F22" s="52"/>
      <c r="G22" s="55">
        <f>SUM(G18,F19:F21)</f>
        <v>3.5662933826450128E-3</v>
      </c>
      <c r="H22" s="52">
        <f>SQRT(G22)</f>
        <v>5.9718450939764106E-2</v>
      </c>
      <c r="I22" s="56">
        <f>H22</f>
        <v>5.9718450939764106E-2</v>
      </c>
      <c r="J22" s="57" t="s">
        <v>40</v>
      </c>
    </row>
    <row r="23" spans="1:10" x14ac:dyDescent="0.25">
      <c r="D23" s="3"/>
      <c r="E23" s="3"/>
    </row>
    <row r="32" spans="1:10" x14ac:dyDescent="0.25">
      <c r="D32" s="3"/>
      <c r="E32" s="3"/>
    </row>
    <row r="33" spans="1:6" x14ac:dyDescent="0.25">
      <c r="D33" s="3"/>
      <c r="E33" s="3"/>
    </row>
    <row r="34" spans="1:6" x14ac:dyDescent="0.25">
      <c r="D34" s="3"/>
      <c r="E34" s="3"/>
    </row>
    <row r="35" spans="1:6" x14ac:dyDescent="0.25">
      <c r="A35" t="s">
        <v>21</v>
      </c>
      <c r="D35" s="3"/>
      <c r="E35" s="3"/>
    </row>
    <row r="36" spans="1:6" ht="70.150000000000006" customHeight="1" x14ac:dyDescent="0.25">
      <c r="A36" s="160" t="s">
        <v>22</v>
      </c>
      <c r="B36" s="160"/>
      <c r="C36" s="160"/>
      <c r="D36" s="160"/>
      <c r="E36" s="160"/>
      <c r="F36" s="160"/>
    </row>
    <row r="37" spans="1:6" ht="19.149999999999999" customHeight="1" x14ac:dyDescent="0.25">
      <c r="A37" t="s">
        <v>23</v>
      </c>
      <c r="D37" s="3"/>
      <c r="E37" s="3"/>
    </row>
    <row r="38" spans="1:6" x14ac:dyDescent="0.25">
      <c r="A38" t="s">
        <v>24</v>
      </c>
      <c r="D38" s="3"/>
      <c r="E38" s="3"/>
    </row>
    <row r="39" spans="1:6" x14ac:dyDescent="0.25">
      <c r="A39" t="s">
        <v>25</v>
      </c>
      <c r="D39" s="3"/>
      <c r="E39" s="3"/>
    </row>
    <row r="40" spans="1:6" x14ac:dyDescent="0.25">
      <c r="A40" t="s">
        <v>26</v>
      </c>
      <c r="D40" s="3"/>
      <c r="E40" s="3"/>
    </row>
    <row r="41" spans="1:6" x14ac:dyDescent="0.25">
      <c r="A41" t="s">
        <v>27</v>
      </c>
      <c r="D41" s="3"/>
      <c r="E41" s="3"/>
    </row>
    <row r="42" spans="1:6" x14ac:dyDescent="0.25">
      <c r="A42" t="s">
        <v>28</v>
      </c>
      <c r="D42" s="3"/>
      <c r="E42" s="3"/>
    </row>
  </sheetData>
  <mergeCells count="2">
    <mergeCell ref="A36:F36"/>
    <mergeCell ref="A1:F1"/>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workbookViewId="0">
      <selection activeCell="I27" sqref="I27"/>
    </sheetView>
  </sheetViews>
  <sheetFormatPr defaultRowHeight="15" x14ac:dyDescent="0.25"/>
  <cols>
    <col min="3" max="3" width="24.42578125" bestFit="1" customWidth="1"/>
  </cols>
  <sheetData>
    <row r="1" spans="2:15" x14ac:dyDescent="0.25">
      <c r="D1" s="150"/>
      <c r="E1" s="150" t="s">
        <v>146</v>
      </c>
      <c r="N1" s="150">
        <v>0.36</v>
      </c>
      <c r="O1" s="150">
        <v>0.67</v>
      </c>
    </row>
    <row r="2" spans="2:15" x14ac:dyDescent="0.25">
      <c r="B2" t="s">
        <v>147</v>
      </c>
      <c r="D2" s="150"/>
      <c r="E2" t="s">
        <v>148</v>
      </c>
      <c r="H2" t="s">
        <v>149</v>
      </c>
    </row>
    <row r="3" spans="2:15" x14ac:dyDescent="0.25">
      <c r="B3" t="s">
        <v>150</v>
      </c>
      <c r="C3" t="s">
        <v>151</v>
      </c>
      <c r="D3" s="150" t="s">
        <v>152</v>
      </c>
      <c r="E3" s="150" t="s">
        <v>145</v>
      </c>
      <c r="G3" t="s">
        <v>153</v>
      </c>
      <c r="H3" t="s">
        <v>150</v>
      </c>
      <c r="I3" t="s">
        <v>151</v>
      </c>
      <c r="J3" s="150" t="s">
        <v>144</v>
      </c>
      <c r="K3" s="150" t="s">
        <v>145</v>
      </c>
      <c r="L3" t="s">
        <v>148</v>
      </c>
      <c r="M3" t="s">
        <v>153</v>
      </c>
    </row>
    <row r="4" spans="2:15" x14ac:dyDescent="0.25">
      <c r="B4">
        <v>2</v>
      </c>
      <c r="C4">
        <v>1.2</v>
      </c>
      <c r="D4" s="150">
        <f>(B4-C4)/C4</f>
        <v>0.66666666666666674</v>
      </c>
      <c r="E4" s="150">
        <f>STDEV(B4:C4)/C4</f>
        <v>0.47140452079103057</v>
      </c>
      <c r="F4" s="151">
        <f>(D4/E4)/100</f>
        <v>1.4142135623730985E-2</v>
      </c>
      <c r="G4">
        <f>E4/1.96</f>
        <v>0.24051251060766865</v>
      </c>
      <c r="H4">
        <v>2</v>
      </c>
      <c r="I4">
        <v>1</v>
      </c>
      <c r="J4" s="150">
        <f>(H4-I4)/AVERAGE(H4:I4)</f>
        <v>0.66666666666666663</v>
      </c>
      <c r="K4" s="150">
        <f>STDEV(H4:I4)/AVERAGE(H4:I4)</f>
        <v>0.47140452079103173</v>
      </c>
      <c r="L4" s="151">
        <f>(J4/K4)/100</f>
        <v>1.4142135623730949E-2</v>
      </c>
      <c r="M4">
        <f>K4/1.96</f>
        <v>0.24051251060766926</v>
      </c>
    </row>
    <row r="5" spans="2:15" x14ac:dyDescent="0.25">
      <c r="B5">
        <v>3.5</v>
      </c>
      <c r="C5">
        <v>2.1</v>
      </c>
      <c r="D5" s="150">
        <f t="shared" ref="D5:D16" si="0">(B5-C5)/C5</f>
        <v>0.66666666666666663</v>
      </c>
      <c r="E5" s="150">
        <f t="shared" ref="E5:E16" si="1">STDEV(B5:C5)/C5</f>
        <v>0.47140452079103223</v>
      </c>
      <c r="F5" s="151">
        <f t="shared" ref="F5:F16" si="2">(D5/E5)/100</f>
        <v>1.4142135623730933E-2</v>
      </c>
      <c r="G5">
        <f t="shared" ref="G5:G16" si="3">E5/1.96</f>
        <v>0.24051251060766951</v>
      </c>
      <c r="H5">
        <v>3.5</v>
      </c>
      <c r="I5">
        <v>1.7</v>
      </c>
      <c r="J5" s="150">
        <f t="shared" ref="J5:J14" si="4">(H5-I5)/AVERAGE(H5:I5)</f>
        <v>0.69230769230769229</v>
      </c>
      <c r="K5" s="150">
        <f t="shared" ref="K5:K14" si="5">STDEV(H5:I5)/AVERAGE(H5:I5)</f>
        <v>0.48953546389837893</v>
      </c>
      <c r="L5" s="151">
        <f t="shared" ref="L5:L14" si="6">(J5/K5)/100</f>
        <v>1.4142135623730954E-2</v>
      </c>
      <c r="M5">
        <f t="shared" ref="M5:M14" si="7">K5/1.96</f>
        <v>0.2497629917848872</v>
      </c>
    </row>
    <row r="6" spans="2:15" x14ac:dyDescent="0.25">
      <c r="B6">
        <v>3.7</v>
      </c>
      <c r="C6">
        <v>2.2000000000000002</v>
      </c>
      <c r="D6" s="150">
        <f t="shared" si="0"/>
        <v>0.68181818181818177</v>
      </c>
      <c r="E6" s="150">
        <f t="shared" si="1"/>
        <v>0.48211825989991869</v>
      </c>
      <c r="F6" s="151">
        <f t="shared" si="2"/>
        <v>1.4142135623730951E-2</v>
      </c>
      <c r="G6">
        <f t="shared" si="3"/>
        <v>0.24597870403057076</v>
      </c>
      <c r="H6">
        <v>3.7</v>
      </c>
      <c r="I6">
        <v>1.8</v>
      </c>
      <c r="J6" s="150">
        <f t="shared" si="4"/>
        <v>0.69090909090909092</v>
      </c>
      <c r="K6" s="150">
        <f t="shared" si="5"/>
        <v>0.48854650336525096</v>
      </c>
      <c r="L6" s="151">
        <f t="shared" si="6"/>
        <v>1.4142135623730951E-2</v>
      </c>
      <c r="M6">
        <f t="shared" si="7"/>
        <v>0.24925842008431173</v>
      </c>
    </row>
    <row r="7" spans="2:15" x14ac:dyDescent="0.25">
      <c r="B7">
        <v>6</v>
      </c>
      <c r="C7">
        <v>4.4000000000000004</v>
      </c>
      <c r="D7" s="150">
        <f t="shared" si="0"/>
        <v>0.36363636363636354</v>
      </c>
      <c r="E7" s="150">
        <f t="shared" si="1"/>
        <v>0.25712973861328936</v>
      </c>
      <c r="F7" s="151">
        <f t="shared" si="2"/>
        <v>1.4142135623730982E-2</v>
      </c>
      <c r="G7">
        <f t="shared" si="3"/>
        <v>0.13118864214963744</v>
      </c>
      <c r="H7">
        <v>6</v>
      </c>
      <c r="I7">
        <v>4.2</v>
      </c>
      <c r="J7" s="150">
        <f t="shared" si="4"/>
        <v>0.3529411764705882</v>
      </c>
      <c r="K7" s="150">
        <f t="shared" si="5"/>
        <v>0.24956709924231124</v>
      </c>
      <c r="L7" s="151">
        <f t="shared" si="6"/>
        <v>1.414213562373093E-2</v>
      </c>
      <c r="M7">
        <f t="shared" si="7"/>
        <v>0.12733015267464859</v>
      </c>
    </row>
    <row r="8" spans="2:15" x14ac:dyDescent="0.25">
      <c r="B8">
        <v>8</v>
      </c>
      <c r="C8">
        <v>5.9</v>
      </c>
      <c r="D8" s="150">
        <f t="shared" si="0"/>
        <v>0.35593220338983045</v>
      </c>
      <c r="E8" s="150">
        <f t="shared" si="1"/>
        <v>0.2516820746596185</v>
      </c>
      <c r="F8" s="151">
        <f t="shared" si="2"/>
        <v>1.4142135623730954E-2</v>
      </c>
      <c r="G8">
        <f t="shared" si="3"/>
        <v>0.12840922176511149</v>
      </c>
      <c r="H8">
        <v>8</v>
      </c>
      <c r="I8">
        <v>5.6</v>
      </c>
      <c r="J8" s="150">
        <f t="shared" si="4"/>
        <v>0.35294117647058831</v>
      </c>
      <c r="K8" s="150">
        <f t="shared" si="5"/>
        <v>0.24956709924231132</v>
      </c>
      <c r="L8" s="151">
        <f t="shared" si="6"/>
        <v>1.414213562373093E-2</v>
      </c>
      <c r="M8">
        <f t="shared" si="7"/>
        <v>0.12733015267464864</v>
      </c>
    </row>
    <row r="9" spans="2:15" x14ac:dyDescent="0.25">
      <c r="B9">
        <v>12</v>
      </c>
      <c r="C9">
        <v>8.8000000000000007</v>
      </c>
      <c r="D9" s="150">
        <f t="shared" si="0"/>
        <v>0.36363636363636354</v>
      </c>
      <c r="E9" s="150">
        <f t="shared" si="1"/>
        <v>0.25712973861328936</v>
      </c>
      <c r="F9" s="151">
        <f t="shared" si="2"/>
        <v>1.4142135623730982E-2</v>
      </c>
      <c r="G9">
        <f t="shared" si="3"/>
        <v>0.13118864214963744</v>
      </c>
      <c r="H9">
        <v>12</v>
      </c>
      <c r="I9">
        <v>8.3000000000000007</v>
      </c>
      <c r="J9" s="150">
        <f t="shared" si="4"/>
        <v>0.36453201970443344</v>
      </c>
      <c r="K9" s="150">
        <f t="shared" si="5"/>
        <v>0.25776306309263303</v>
      </c>
      <c r="L9" s="151">
        <f t="shared" si="6"/>
        <v>1.4142135623730951E-2</v>
      </c>
      <c r="M9">
        <f t="shared" si="7"/>
        <v>0.13151176688399643</v>
      </c>
    </row>
    <row r="10" spans="2:15" x14ac:dyDescent="0.25">
      <c r="B10">
        <v>10</v>
      </c>
      <c r="C10">
        <v>7.3</v>
      </c>
      <c r="D10" s="150">
        <f t="shared" si="0"/>
        <v>0.36986301369863017</v>
      </c>
      <c r="E10" s="150">
        <f t="shared" si="1"/>
        <v>0.26153264509639368</v>
      </c>
      <c r="F10" s="151">
        <f t="shared" si="2"/>
        <v>1.4142135623730985E-2</v>
      </c>
      <c r="G10">
        <f t="shared" si="3"/>
        <v>0.13343502300836413</v>
      </c>
      <c r="H10">
        <v>10</v>
      </c>
      <c r="I10">
        <v>20</v>
      </c>
      <c r="J10" s="150">
        <f t="shared" si="4"/>
        <v>-0.66666666666666663</v>
      </c>
      <c r="K10" s="150">
        <f t="shared" si="5"/>
        <v>0.47140452079103168</v>
      </c>
      <c r="L10" s="151">
        <f t="shared" si="6"/>
        <v>-1.4142135623730949E-2</v>
      </c>
      <c r="M10">
        <f t="shared" si="7"/>
        <v>0.24051251060766923</v>
      </c>
    </row>
    <row r="11" spans="2:15" x14ac:dyDescent="0.25">
      <c r="B11">
        <v>5</v>
      </c>
      <c r="C11">
        <v>3.7</v>
      </c>
      <c r="D11" s="150">
        <f t="shared" si="0"/>
        <v>0.35135135135135126</v>
      </c>
      <c r="E11" s="150">
        <f t="shared" si="1"/>
        <v>0.24844292311959865</v>
      </c>
      <c r="F11" s="151">
        <f t="shared" si="2"/>
        <v>1.4142135623730899E-2</v>
      </c>
      <c r="G11">
        <f t="shared" si="3"/>
        <v>0.12675659342836665</v>
      </c>
      <c r="H11">
        <v>5</v>
      </c>
      <c r="I11">
        <v>7</v>
      </c>
      <c r="J11" s="150">
        <f t="shared" si="4"/>
        <v>-0.33333333333333331</v>
      </c>
      <c r="K11" s="150">
        <f t="shared" si="5"/>
        <v>0.23570226039551587</v>
      </c>
      <c r="L11" s="151">
        <f t="shared" si="6"/>
        <v>-1.4142135623730949E-2</v>
      </c>
      <c r="M11">
        <f t="shared" si="7"/>
        <v>0.12025625530383463</v>
      </c>
    </row>
    <row r="12" spans="2:15" x14ac:dyDescent="0.25">
      <c r="B12">
        <v>14</v>
      </c>
      <c r="C12">
        <v>10</v>
      </c>
      <c r="D12" s="150">
        <f t="shared" si="0"/>
        <v>0.4</v>
      </c>
      <c r="E12" s="150">
        <f t="shared" si="1"/>
        <v>0.28284271247461901</v>
      </c>
      <c r="F12" s="151">
        <f t="shared" si="2"/>
        <v>1.4142135623730951E-2</v>
      </c>
      <c r="G12">
        <f t="shared" si="3"/>
        <v>0.14430750636460155</v>
      </c>
      <c r="H12">
        <v>14</v>
      </c>
      <c r="I12">
        <v>25</v>
      </c>
      <c r="J12" s="150">
        <f t="shared" si="4"/>
        <v>-0.5641025641025641</v>
      </c>
      <c r="K12" s="150">
        <f t="shared" si="5"/>
        <v>0.39888074836164217</v>
      </c>
      <c r="L12" s="151">
        <f t="shared" si="6"/>
        <v>-1.4142135623730951E-2</v>
      </c>
      <c r="M12">
        <f t="shared" si="7"/>
        <v>0.20351058589879703</v>
      </c>
    </row>
    <row r="13" spans="2:15" x14ac:dyDescent="0.25">
      <c r="B13">
        <v>34</v>
      </c>
      <c r="C13">
        <v>25</v>
      </c>
      <c r="D13" s="150">
        <f t="shared" si="0"/>
        <v>0.36</v>
      </c>
      <c r="E13" s="150">
        <f t="shared" si="1"/>
        <v>0.2545584412271571</v>
      </c>
      <c r="F13" s="151">
        <f t="shared" si="2"/>
        <v>1.4142135623730951E-2</v>
      </c>
      <c r="G13">
        <f t="shared" si="3"/>
        <v>0.12987675572814139</v>
      </c>
      <c r="H13">
        <v>15</v>
      </c>
      <c r="I13">
        <v>25</v>
      </c>
      <c r="J13" s="150">
        <f t="shared" si="4"/>
        <v>-0.5</v>
      </c>
      <c r="K13" s="150">
        <f t="shared" si="5"/>
        <v>0.35355339059327379</v>
      </c>
      <c r="L13" s="151">
        <f t="shared" si="6"/>
        <v>-1.4142135623730949E-2</v>
      </c>
      <c r="M13">
        <f t="shared" si="7"/>
        <v>0.18038438295575193</v>
      </c>
    </row>
    <row r="14" spans="2:15" x14ac:dyDescent="0.25">
      <c r="B14">
        <v>17</v>
      </c>
      <c r="C14">
        <v>27</v>
      </c>
      <c r="D14" s="150">
        <f t="shared" si="0"/>
        <v>-0.37037037037037035</v>
      </c>
      <c r="E14" s="150">
        <f t="shared" si="1"/>
        <v>0.26189140043946207</v>
      </c>
      <c r="F14" s="151">
        <f t="shared" si="2"/>
        <v>-1.4142135623730949E-2</v>
      </c>
      <c r="G14">
        <f t="shared" si="3"/>
        <v>0.13361806144870514</v>
      </c>
      <c r="H14">
        <v>17</v>
      </c>
      <c r="I14">
        <v>27</v>
      </c>
      <c r="J14" s="150">
        <f t="shared" si="4"/>
        <v>-0.45454545454545453</v>
      </c>
      <c r="K14" s="150">
        <f t="shared" si="5"/>
        <v>0.32141217326661253</v>
      </c>
      <c r="L14" s="151">
        <f t="shared" si="6"/>
        <v>-1.4142135623730949E-2</v>
      </c>
      <c r="M14">
        <f t="shared" si="7"/>
        <v>0.16398580268704721</v>
      </c>
    </row>
    <row r="15" spans="2:15" x14ac:dyDescent="0.25">
      <c r="B15">
        <v>4</v>
      </c>
      <c r="C15">
        <v>8</v>
      </c>
      <c r="D15" s="150">
        <f t="shared" si="0"/>
        <v>-0.5</v>
      </c>
      <c r="E15" s="150">
        <f t="shared" si="1"/>
        <v>0.35355339059327379</v>
      </c>
      <c r="F15" s="151">
        <f t="shared" si="2"/>
        <v>-1.4142135623730949E-2</v>
      </c>
      <c r="G15">
        <f t="shared" si="3"/>
        <v>0.18038438295575193</v>
      </c>
    </row>
    <row r="16" spans="2:15" x14ac:dyDescent="0.25">
      <c r="B16">
        <v>8</v>
      </c>
      <c r="C16">
        <v>4</v>
      </c>
      <c r="D16" s="150">
        <f t="shared" si="0"/>
        <v>1</v>
      </c>
      <c r="E16" s="150">
        <f t="shared" si="1"/>
        <v>0.70710678118654757</v>
      </c>
      <c r="F16" s="151">
        <f t="shared" si="2"/>
        <v>1.4142135623730949E-2</v>
      </c>
      <c r="G16">
        <f t="shared" si="3"/>
        <v>0.36076876591150386</v>
      </c>
    </row>
    <row r="17" spans="4:5" x14ac:dyDescent="0.25">
      <c r="D17" s="150"/>
      <c r="E17" s="150"/>
    </row>
    <row r="18" spans="4:5" x14ac:dyDescent="0.25">
      <c r="D18" s="150"/>
      <c r="E18" s="1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F30" sqref="F30"/>
    </sheetView>
  </sheetViews>
  <sheetFormatPr defaultRowHeight="15" x14ac:dyDescent="0.25"/>
  <cols>
    <col min="4" max="4" width="12" bestFit="1" customWidth="1"/>
    <col min="5" max="5" width="36.7109375" customWidth="1"/>
    <col min="12" max="12" width="11.42578125" customWidth="1"/>
  </cols>
  <sheetData>
    <row r="1" spans="2:20" x14ac:dyDescent="0.25">
      <c r="F1" t="s">
        <v>77</v>
      </c>
      <c r="K1" t="s">
        <v>85</v>
      </c>
    </row>
    <row r="2" spans="2:20" x14ac:dyDescent="0.25">
      <c r="B2" t="s">
        <v>81</v>
      </c>
      <c r="C2" t="s">
        <v>45</v>
      </c>
      <c r="F2" t="s">
        <v>66</v>
      </c>
      <c r="G2" t="s">
        <v>67</v>
      </c>
      <c r="K2" t="s">
        <v>80</v>
      </c>
      <c r="S2" t="s">
        <v>32</v>
      </c>
      <c r="T2" t="s">
        <v>79</v>
      </c>
    </row>
    <row r="3" spans="2:20" x14ac:dyDescent="0.25">
      <c r="B3" s="4">
        <v>1.1000000000000001</v>
      </c>
      <c r="C3">
        <f>LN(B3)</f>
        <v>9.5310179804324935E-2</v>
      </c>
      <c r="E3" t="s">
        <v>69</v>
      </c>
      <c r="F3">
        <v>5</v>
      </c>
      <c r="G3">
        <f>60*F3</f>
        <v>300</v>
      </c>
      <c r="K3">
        <f>0.05*37</f>
        <v>1.85</v>
      </c>
      <c r="L3" t="s">
        <v>69</v>
      </c>
      <c r="N3" s="93" t="s">
        <v>72</v>
      </c>
      <c r="S3">
        <v>4</v>
      </c>
      <c r="T3">
        <f>S3*0.037*1000</f>
        <v>148</v>
      </c>
    </row>
    <row r="4" spans="2:20" x14ac:dyDescent="0.25">
      <c r="B4" s="4">
        <v>1.1000000000000001</v>
      </c>
      <c r="C4">
        <f t="shared" ref="C4:C19" si="0">LN(B4)</f>
        <v>9.5310179804324935E-2</v>
      </c>
      <c r="E4" t="s">
        <v>87</v>
      </c>
      <c r="F4">
        <v>0.3</v>
      </c>
      <c r="G4">
        <f>60*F4</f>
        <v>18</v>
      </c>
      <c r="K4" t="s">
        <v>82</v>
      </c>
      <c r="N4" s="94"/>
      <c r="S4">
        <v>9</v>
      </c>
      <c r="T4">
        <f t="shared" ref="T4:T24" si="1">S4*0.037*1000</f>
        <v>332.99999999999994</v>
      </c>
    </row>
    <row r="5" spans="2:20" x14ac:dyDescent="0.25">
      <c r="B5" s="4">
        <v>1.1000000000000001</v>
      </c>
      <c r="C5">
        <f t="shared" si="0"/>
        <v>9.5310179804324935E-2</v>
      </c>
      <c r="E5" t="s">
        <v>70</v>
      </c>
      <c r="G5">
        <v>6</v>
      </c>
      <c r="K5">
        <f>60*K3</f>
        <v>111</v>
      </c>
      <c r="N5" s="94"/>
      <c r="S5">
        <v>159</v>
      </c>
      <c r="T5">
        <f t="shared" si="1"/>
        <v>5883</v>
      </c>
    </row>
    <row r="6" spans="2:20" x14ac:dyDescent="0.25">
      <c r="B6" s="4">
        <v>1.1000000000000001</v>
      </c>
      <c r="C6">
        <f t="shared" si="0"/>
        <v>9.5310179804324935E-2</v>
      </c>
      <c r="E6" t="s">
        <v>71</v>
      </c>
      <c r="G6">
        <v>15</v>
      </c>
      <c r="N6" s="93" t="s">
        <v>73</v>
      </c>
      <c r="S6">
        <v>1</v>
      </c>
      <c r="T6">
        <f t="shared" si="1"/>
        <v>37</v>
      </c>
    </row>
    <row r="7" spans="2:20" x14ac:dyDescent="0.25">
      <c r="B7" s="4">
        <v>1.1000000000000001</v>
      </c>
      <c r="C7">
        <f t="shared" si="0"/>
        <v>9.5310179804324935E-2</v>
      </c>
      <c r="E7" s="93" t="s">
        <v>76</v>
      </c>
      <c r="F7">
        <v>0.33</v>
      </c>
      <c r="G7">
        <f>60*F7</f>
        <v>19.8</v>
      </c>
      <c r="N7" s="93" t="s">
        <v>74</v>
      </c>
      <c r="S7">
        <v>120</v>
      </c>
      <c r="T7">
        <f t="shared" si="1"/>
        <v>4439.9999999999991</v>
      </c>
    </row>
    <row r="8" spans="2:20" x14ac:dyDescent="0.25">
      <c r="B8" s="4">
        <v>1.1000000000000001</v>
      </c>
      <c r="C8">
        <f t="shared" si="0"/>
        <v>9.5310179804324935E-2</v>
      </c>
      <c r="E8" t="s">
        <v>78</v>
      </c>
      <c r="G8">
        <v>3</v>
      </c>
      <c r="N8" s="93" t="s">
        <v>75</v>
      </c>
      <c r="S8">
        <v>73</v>
      </c>
      <c r="T8">
        <f t="shared" si="1"/>
        <v>2701</v>
      </c>
    </row>
    <row r="9" spans="2:20" x14ac:dyDescent="0.25">
      <c r="B9" s="4">
        <v>2</v>
      </c>
      <c r="C9">
        <f t="shared" si="0"/>
        <v>0.69314718055994529</v>
      </c>
      <c r="E9" t="s">
        <v>71</v>
      </c>
      <c r="G9">
        <v>15</v>
      </c>
      <c r="K9" t="s">
        <v>86</v>
      </c>
      <c r="S9">
        <v>159</v>
      </c>
      <c r="T9">
        <f t="shared" si="1"/>
        <v>5883</v>
      </c>
    </row>
    <row r="10" spans="2:20" x14ac:dyDescent="0.25">
      <c r="B10" s="4">
        <v>2</v>
      </c>
      <c r="C10">
        <f t="shared" si="0"/>
        <v>0.69314718055994529</v>
      </c>
      <c r="E10" t="s">
        <v>88</v>
      </c>
      <c r="G10">
        <v>2.5</v>
      </c>
      <c r="S10">
        <v>0.7</v>
      </c>
      <c r="T10">
        <f t="shared" si="1"/>
        <v>25.899999999999995</v>
      </c>
    </row>
    <row r="11" spans="2:20" x14ac:dyDescent="0.25">
      <c r="B11" s="4">
        <v>2</v>
      </c>
      <c r="C11">
        <f t="shared" si="0"/>
        <v>0.69314718055994529</v>
      </c>
      <c r="S11">
        <v>10</v>
      </c>
      <c r="T11">
        <f t="shared" si="1"/>
        <v>370</v>
      </c>
    </row>
    <row r="12" spans="2:20" x14ac:dyDescent="0.25">
      <c r="B12" s="4">
        <v>3</v>
      </c>
      <c r="C12">
        <f t="shared" si="0"/>
        <v>1.0986122886681098</v>
      </c>
      <c r="S12">
        <v>87</v>
      </c>
      <c r="T12">
        <f t="shared" si="1"/>
        <v>3219</v>
      </c>
    </row>
    <row r="13" spans="2:20" x14ac:dyDescent="0.25">
      <c r="B13" s="4">
        <v>3</v>
      </c>
      <c r="C13">
        <f t="shared" si="0"/>
        <v>1.0986122886681098</v>
      </c>
      <c r="E13" s="104" t="s">
        <v>89</v>
      </c>
      <c r="F13" s="104" t="s">
        <v>91</v>
      </c>
      <c r="G13" s="104" t="s">
        <v>92</v>
      </c>
      <c r="S13">
        <v>100</v>
      </c>
      <c r="T13">
        <f t="shared" si="1"/>
        <v>3699.9999999999995</v>
      </c>
    </row>
    <row r="14" spans="2:20" x14ac:dyDescent="0.25">
      <c r="B14" s="4">
        <v>3</v>
      </c>
      <c r="C14">
        <f t="shared" si="0"/>
        <v>1.0986122886681098</v>
      </c>
      <c r="E14">
        <v>1.2</v>
      </c>
      <c r="F14">
        <f>E14/4</f>
        <v>0.3</v>
      </c>
      <c r="G14">
        <f>F14*60</f>
        <v>18</v>
      </c>
      <c r="H14" t="s">
        <v>68</v>
      </c>
      <c r="S14">
        <v>50</v>
      </c>
      <c r="T14">
        <f t="shared" si="1"/>
        <v>1849.9999999999998</v>
      </c>
    </row>
    <row r="15" spans="2:20" x14ac:dyDescent="0.25">
      <c r="B15" s="4">
        <v>4</v>
      </c>
      <c r="C15">
        <f t="shared" si="0"/>
        <v>1.3862943611198906</v>
      </c>
      <c r="E15">
        <v>7.6</v>
      </c>
      <c r="F15">
        <f t="shared" ref="F15:F17" si="2">E15/4</f>
        <v>1.9</v>
      </c>
      <c r="G15">
        <f t="shared" ref="G15:G17" si="3">F15*60</f>
        <v>114</v>
      </c>
      <c r="H15" t="s">
        <v>93</v>
      </c>
      <c r="S15">
        <v>20</v>
      </c>
      <c r="T15">
        <f t="shared" si="1"/>
        <v>740</v>
      </c>
    </row>
    <row r="16" spans="2:20" x14ac:dyDescent="0.25">
      <c r="B16" s="4">
        <v>4</v>
      </c>
      <c r="C16">
        <f t="shared" si="0"/>
        <v>1.3862943611198906</v>
      </c>
      <c r="E16">
        <v>0.17</v>
      </c>
      <c r="F16">
        <f t="shared" si="2"/>
        <v>4.2500000000000003E-2</v>
      </c>
      <c r="G16">
        <f t="shared" si="3"/>
        <v>2.5500000000000003</v>
      </c>
      <c r="H16" t="s">
        <v>88</v>
      </c>
      <c r="S16">
        <v>10</v>
      </c>
      <c r="T16">
        <f t="shared" si="1"/>
        <v>370</v>
      </c>
    </row>
    <row r="17" spans="1:20" x14ac:dyDescent="0.25">
      <c r="B17" s="4">
        <v>5</v>
      </c>
      <c r="C17">
        <f t="shared" si="0"/>
        <v>1.6094379124341003</v>
      </c>
      <c r="E17">
        <v>2</v>
      </c>
      <c r="F17">
        <f t="shared" si="2"/>
        <v>0.5</v>
      </c>
      <c r="G17">
        <f t="shared" si="3"/>
        <v>30</v>
      </c>
      <c r="H17" t="s">
        <v>90</v>
      </c>
      <c r="S17">
        <v>12</v>
      </c>
      <c r="T17">
        <f t="shared" si="1"/>
        <v>443.99999999999994</v>
      </c>
    </row>
    <row r="18" spans="1:20" x14ac:dyDescent="0.25">
      <c r="B18" s="4">
        <v>7</v>
      </c>
      <c r="C18">
        <f t="shared" si="0"/>
        <v>1.9459101490553132</v>
      </c>
      <c r="S18">
        <v>11</v>
      </c>
      <c r="T18">
        <f t="shared" si="1"/>
        <v>407</v>
      </c>
    </row>
    <row r="19" spans="1:20" x14ac:dyDescent="0.25">
      <c r="B19" s="4">
        <v>15</v>
      </c>
      <c r="C19">
        <f t="shared" si="0"/>
        <v>2.7080502011022101</v>
      </c>
      <c r="S19">
        <v>5</v>
      </c>
      <c r="T19">
        <f t="shared" si="1"/>
        <v>185</v>
      </c>
    </row>
    <row r="20" spans="1:20" x14ac:dyDescent="0.25">
      <c r="A20" s="4" t="s">
        <v>42</v>
      </c>
      <c r="B20" t="s">
        <v>43</v>
      </c>
      <c r="S20">
        <v>4</v>
      </c>
      <c r="T20">
        <f t="shared" si="1"/>
        <v>148</v>
      </c>
    </row>
    <row r="21" spans="1:20" x14ac:dyDescent="0.25">
      <c r="A21" s="4">
        <f>AVERAGE(B3:B19)</f>
        <v>3.3294117647058825</v>
      </c>
      <c r="B21" s="6">
        <f>AVERAGE(C3:C19)</f>
        <v>0.88136038066714828</v>
      </c>
      <c r="C21" s="4">
        <f>(B3*B4*B5*B6*B7*B8*B9*B10*B11*B12*B13*B14*B15*B16*B17*B18*B19)^(1/C24)</f>
        <v>2.4141816796285616</v>
      </c>
      <c r="S21">
        <v>3</v>
      </c>
      <c r="T21">
        <f t="shared" si="1"/>
        <v>110.99999999999999</v>
      </c>
    </row>
    <row r="22" spans="1:20" x14ac:dyDescent="0.25">
      <c r="A22" s="4">
        <f>STDEV(B3:B19)</f>
        <v>3.4352519387015765</v>
      </c>
      <c r="B22" s="6">
        <f>STDEV(C3:C19)</f>
        <v>0.7691388350488485</v>
      </c>
      <c r="D22" s="6">
        <f>EXP(B22)</f>
        <v>2.1579071394014435</v>
      </c>
      <c r="E22" t="s">
        <v>46</v>
      </c>
      <c r="S22">
        <v>2</v>
      </c>
      <c r="T22">
        <f t="shared" si="1"/>
        <v>74</v>
      </c>
    </row>
    <row r="23" spans="1:20" x14ac:dyDescent="0.25">
      <c r="A23" s="4">
        <f>GEOMEAN(B3:B19)</f>
        <v>2.414181679628562</v>
      </c>
      <c r="S23">
        <v>2.7</v>
      </c>
      <c r="T23">
        <f t="shared" si="1"/>
        <v>99.9</v>
      </c>
    </row>
    <row r="24" spans="1:20" x14ac:dyDescent="0.25">
      <c r="B24" t="s">
        <v>44</v>
      </c>
      <c r="C24">
        <f>COUNT(C3:C19)</f>
        <v>17</v>
      </c>
      <c r="S24">
        <v>8.1</v>
      </c>
      <c r="T24">
        <f t="shared" si="1"/>
        <v>299.7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CalibDurationEtcCalcs</vt:lpstr>
      <vt:lpstr>OptimalCountingTimeBkgCalib</vt:lpstr>
      <vt:lpstr>Resultant_CRM_Uncertainty</vt:lpstr>
      <vt:lpstr>UncertaintyIn2ndaryChamber</vt:lpstr>
      <vt:lpstr>QC_scribbling</vt:lpstr>
      <vt:lpstr>scribbling</vt:lpstr>
      <vt:lpstr>CF</vt:lpstr>
      <vt:lpstr>CONC</vt:lpstr>
      <vt:lpstr>CSE</vt:lpstr>
      <vt:lpstr>Hrs</vt:lpstr>
      <vt:lpstr>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mrb-fast</dc:creator>
  <cp:lastModifiedBy>melinda</cp:lastModifiedBy>
  <dcterms:created xsi:type="dcterms:W3CDTF">2016-01-28T15:59:36Z</dcterms:created>
  <dcterms:modified xsi:type="dcterms:W3CDTF">2018-02-10T13:40:15Z</dcterms:modified>
</cp:coreProperties>
</file>